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1\"/>
    </mc:Choice>
  </mc:AlternateContent>
  <bookViews>
    <workbookView xWindow="0" yWindow="0" windowWidth="20490" windowHeight="7620" tabRatio="785" firstSheet="1" activeTab="2"/>
  </bookViews>
  <sheets>
    <sheet name="INGRESOS JUNIO 2021" sheetId="15" r:id="rId1"/>
    <sheet name="INGRESOS SEPTIEMBRE 2021" sheetId="24" r:id="rId2"/>
    <sheet name="GASTOS SEPTIEMBRE 2021 " sheetId="20" r:id="rId3"/>
  </sheets>
  <externalReferences>
    <externalReference r:id="rId4"/>
  </externalReferences>
  <definedNames>
    <definedName name="_xlnm._FilterDatabase" localSheetId="1" hidden="1">'INGRESOS SEPTIEMBRE 2021'!$B$6:$I$85</definedName>
    <definedName name="_xlnm.Print_Area" localSheetId="2">'GASTOS SEPTIEMBRE 2021 '!$A$1:$P$124</definedName>
    <definedName name="_xlnm.Print_Area" localSheetId="0">'INGRESOS JUNIO 2021'!$B$1:$I$81</definedName>
    <definedName name="_xlnm.Print_Area" localSheetId="1">'INGRESOS SEPTIEMBRE 2021'!$B$1:$I$94</definedName>
    <definedName name="_xlnm.Print_Titles" localSheetId="2">'GASTOS SEPTIEMBRE 2021 '!$1:$7</definedName>
    <definedName name="_xlnm.Print_Titles" localSheetId="0">'INGRESOS JUNIO 2021'!$1:$6</definedName>
    <definedName name="_xlnm.Print_Titles" localSheetId="1">'INGRESOS SEPTIEMBRE 2021'!$1:$6</definedName>
  </definedNames>
  <calcPr calcId="152511"/>
</workbook>
</file>

<file path=xl/calcChain.xml><?xml version="1.0" encoding="utf-8"?>
<calcChain xmlns="http://schemas.openxmlformats.org/spreadsheetml/2006/main">
  <c r="H36" i="24" l="1"/>
  <c r="G14" i="20" l="1"/>
  <c r="M82" i="20" l="1"/>
  <c r="E14" i="24"/>
  <c r="H15" i="24"/>
  <c r="D13" i="24"/>
  <c r="D14" i="24"/>
  <c r="D16" i="24"/>
  <c r="H37" i="24" l="1"/>
  <c r="H14" i="24" l="1"/>
  <c r="H41" i="24" l="1"/>
  <c r="H94" i="24"/>
  <c r="F94" i="24"/>
  <c r="E94" i="24"/>
  <c r="D94" i="24"/>
  <c r="G93" i="24"/>
  <c r="H85" i="24"/>
  <c r="E85" i="24"/>
  <c r="D85" i="24"/>
  <c r="G83" i="24"/>
  <c r="G82" i="24"/>
  <c r="G85" i="24" s="1"/>
  <c r="G77" i="24"/>
  <c r="G76" i="24"/>
  <c r="I76" i="24" s="1"/>
  <c r="AF76" i="24" s="1"/>
  <c r="T75" i="24"/>
  <c r="G75" i="24"/>
  <c r="I75" i="24" s="1"/>
  <c r="H74" i="24"/>
  <c r="F74" i="24"/>
  <c r="F73" i="24" s="1"/>
  <c r="E74" i="24"/>
  <c r="E73" i="24" s="1"/>
  <c r="D74" i="24"/>
  <c r="D73" i="24" s="1"/>
  <c r="G72" i="24"/>
  <c r="I71" i="24"/>
  <c r="G71" i="24"/>
  <c r="H70" i="24"/>
  <c r="F70" i="24"/>
  <c r="E70" i="24"/>
  <c r="E67" i="24" s="1"/>
  <c r="D70" i="24"/>
  <c r="D69" i="24" s="1"/>
  <c r="D68" i="24" s="1"/>
  <c r="D67" i="24" s="1"/>
  <c r="D66" i="24" s="1"/>
  <c r="H69" i="24"/>
  <c r="F67" i="24"/>
  <c r="I65" i="24"/>
  <c r="G65" i="24"/>
  <c r="G64" i="24"/>
  <c r="I64" i="24" s="1"/>
  <c r="H63" i="24"/>
  <c r="H62" i="24" s="1"/>
  <c r="E63" i="24"/>
  <c r="G63" i="24" s="1"/>
  <c r="D62" i="24"/>
  <c r="D54" i="24" s="1"/>
  <c r="G61" i="24"/>
  <c r="G60" i="24" s="1"/>
  <c r="H60" i="24"/>
  <c r="F60" i="24"/>
  <c r="E60" i="24"/>
  <c r="D60" i="24"/>
  <c r="G59" i="24"/>
  <c r="I59" i="24" s="1"/>
  <c r="G58" i="24"/>
  <c r="I58" i="24" s="1"/>
  <c r="H57" i="24"/>
  <c r="F57" i="24"/>
  <c r="F56" i="24" s="1"/>
  <c r="F55" i="24" s="1"/>
  <c r="F54" i="24" s="1"/>
  <c r="E57" i="24"/>
  <c r="D57" i="24"/>
  <c r="D56" i="24" s="1"/>
  <c r="D55" i="24" s="1"/>
  <c r="E56" i="24"/>
  <c r="E55" i="24" s="1"/>
  <c r="G53" i="24"/>
  <c r="H52" i="24"/>
  <c r="H51" i="24" s="1"/>
  <c r="F52" i="24"/>
  <c r="F51" i="24" s="1"/>
  <c r="E52" i="24"/>
  <c r="G52" i="24" s="1"/>
  <c r="I52" i="24" s="1"/>
  <c r="AF52" i="24" s="1"/>
  <c r="D52" i="24"/>
  <c r="D51" i="24" s="1"/>
  <c r="G50" i="24"/>
  <c r="G49" i="24"/>
  <c r="I49" i="24" s="1"/>
  <c r="H48" i="24"/>
  <c r="F48" i="24"/>
  <c r="E48" i="24"/>
  <c r="D48" i="24"/>
  <c r="G47" i="24"/>
  <c r="I47" i="24" s="1"/>
  <c r="G46" i="24"/>
  <c r="I46" i="24" s="1"/>
  <c r="G45" i="24"/>
  <c r="I45" i="24" s="1"/>
  <c r="H44" i="24"/>
  <c r="F44" i="24"/>
  <c r="E44" i="24"/>
  <c r="D44" i="24"/>
  <c r="G43" i="24"/>
  <c r="I43" i="24" s="1"/>
  <c r="G42" i="24"/>
  <c r="I42" i="24" s="1"/>
  <c r="G41" i="24"/>
  <c r="G39" i="24" s="1"/>
  <c r="G40" i="24"/>
  <c r="I40" i="24" s="1"/>
  <c r="F39" i="24"/>
  <c r="E39" i="24"/>
  <c r="D39" i="24"/>
  <c r="G38" i="24"/>
  <c r="I38" i="24" s="1"/>
  <c r="G37" i="24"/>
  <c r="I37" i="24" s="1"/>
  <c r="G36" i="24"/>
  <c r="I36" i="24" s="1"/>
  <c r="G35" i="24"/>
  <c r="I35" i="24" s="1"/>
  <c r="H34" i="24"/>
  <c r="F34" i="24"/>
  <c r="E34" i="24"/>
  <c r="D34" i="24"/>
  <c r="G33" i="24"/>
  <c r="I33" i="24" s="1"/>
  <c r="G32" i="24"/>
  <c r="G31" i="24"/>
  <c r="I31" i="24" s="1"/>
  <c r="H30" i="24"/>
  <c r="F30" i="24"/>
  <c r="E30" i="24"/>
  <c r="D30" i="24"/>
  <c r="G29" i="24"/>
  <c r="G27" i="24"/>
  <c r="I27" i="24" s="1"/>
  <c r="G26" i="24"/>
  <c r="I26" i="24" s="1"/>
  <c r="H25" i="24"/>
  <c r="E25" i="24"/>
  <c r="E24" i="24" s="1"/>
  <c r="D25" i="24"/>
  <c r="D24" i="24" s="1"/>
  <c r="F24" i="24"/>
  <c r="F23" i="24" s="1"/>
  <c r="F22" i="24" s="1"/>
  <c r="D23" i="24"/>
  <c r="D22" i="24" s="1"/>
  <c r="G20" i="24"/>
  <c r="I20" i="24" s="1"/>
  <c r="G19" i="24"/>
  <c r="I19" i="24" s="1"/>
  <c r="G18" i="24"/>
  <c r="D17" i="24"/>
  <c r="G16" i="24"/>
  <c r="I16" i="24" s="1"/>
  <c r="G15" i="24"/>
  <c r="I15" i="24" s="1"/>
  <c r="G14" i="24"/>
  <c r="G13" i="24"/>
  <c r="F12" i="24"/>
  <c r="F11" i="24" s="1"/>
  <c r="F10" i="24" s="1"/>
  <c r="F9" i="24" s="1"/>
  <c r="E12" i="24"/>
  <c r="E11" i="24" s="1"/>
  <c r="E10" i="24" s="1"/>
  <c r="E9" i="24" s="1"/>
  <c r="D12" i="24"/>
  <c r="D11" i="24" s="1"/>
  <c r="D10" i="24" s="1"/>
  <c r="D9" i="24" s="1"/>
  <c r="G8" i="20"/>
  <c r="G12" i="24" l="1"/>
  <c r="G44" i="24"/>
  <c r="I44" i="24" s="1"/>
  <c r="AF44" i="24" s="1"/>
  <c r="F28" i="24"/>
  <c r="G57" i="24"/>
  <c r="G56" i="24" s="1"/>
  <c r="G55" i="24" s="1"/>
  <c r="I63" i="24"/>
  <c r="F21" i="24"/>
  <c r="E28" i="24"/>
  <c r="D28" i="24"/>
  <c r="D21" i="24" s="1"/>
  <c r="D8" i="24" s="1"/>
  <c r="D7" i="24" s="1"/>
  <c r="D78" i="24" s="1"/>
  <c r="E51" i="24"/>
  <c r="E62" i="24"/>
  <c r="G62" i="24" s="1"/>
  <c r="H24" i="24"/>
  <c r="G70" i="24"/>
  <c r="I72" i="24"/>
  <c r="F8" i="24"/>
  <c r="F7" i="24" s="1"/>
  <c r="F78" i="24" s="1"/>
  <c r="I60" i="24"/>
  <c r="AF60" i="24" s="1"/>
  <c r="T76" i="24"/>
  <c r="U75" i="24"/>
  <c r="G34" i="24"/>
  <c r="I34" i="24" s="1"/>
  <c r="I61" i="24"/>
  <c r="AF61" i="24" s="1"/>
  <c r="I29" i="24"/>
  <c r="AF29" i="24" s="1"/>
  <c r="H68" i="24"/>
  <c r="I41" i="24"/>
  <c r="I14" i="24"/>
  <c r="E23" i="24"/>
  <c r="E22" i="24" s="1"/>
  <c r="G24" i="24"/>
  <c r="G23" i="24" s="1"/>
  <c r="I32" i="24"/>
  <c r="G30" i="24"/>
  <c r="G48" i="24"/>
  <c r="I50" i="24"/>
  <c r="I62" i="24"/>
  <c r="AF62" i="24" s="1"/>
  <c r="G74" i="24"/>
  <c r="AF75" i="24"/>
  <c r="I93" i="24"/>
  <c r="G94" i="24"/>
  <c r="I94" i="24" s="1"/>
  <c r="G17" i="24"/>
  <c r="H39" i="24"/>
  <c r="I39" i="24" s="1"/>
  <c r="AF39" i="24" s="1"/>
  <c r="AG39" i="24" s="1"/>
  <c r="G51" i="24"/>
  <c r="I53" i="24"/>
  <c r="AF53" i="24" s="1"/>
  <c r="H56" i="24"/>
  <c r="H73" i="24"/>
  <c r="I77" i="24"/>
  <c r="AF77" i="24" s="1"/>
  <c r="G25" i="24"/>
  <c r="I25" i="24" s="1"/>
  <c r="G11" i="24" l="1"/>
  <c r="I57" i="24"/>
  <c r="AF57" i="24" s="1"/>
  <c r="E54" i="24"/>
  <c r="E21" i="24" s="1"/>
  <c r="H28" i="24"/>
  <c r="G10" i="24"/>
  <c r="G73" i="24"/>
  <c r="I73" i="24" s="1"/>
  <c r="I30" i="24"/>
  <c r="AF30" i="24" s="1"/>
  <c r="H67" i="24"/>
  <c r="I48" i="24"/>
  <c r="AF48" i="24" s="1"/>
  <c r="AF34" i="24"/>
  <c r="G54" i="24"/>
  <c r="G69" i="24"/>
  <c r="I70" i="24"/>
  <c r="AF70" i="24" s="1"/>
  <c r="AF51" i="24"/>
  <c r="I51" i="24"/>
  <c r="I56" i="24"/>
  <c r="AF56" i="24" s="1"/>
  <c r="H55" i="24"/>
  <c r="G22" i="24"/>
  <c r="I74" i="24"/>
  <c r="AF74" i="24" s="1"/>
  <c r="G28" i="24"/>
  <c r="H23" i="24"/>
  <c r="I24" i="24"/>
  <c r="G21" i="24" l="1"/>
  <c r="AF21" i="24" s="1"/>
  <c r="E8" i="24"/>
  <c r="E7" i="24" s="1"/>
  <c r="E78" i="24" s="1"/>
  <c r="I28" i="24"/>
  <c r="AF73" i="24"/>
  <c r="H66" i="24"/>
  <c r="G9" i="24"/>
  <c r="G8" i="24" s="1"/>
  <c r="I55" i="24"/>
  <c r="AF55" i="24" s="1"/>
  <c r="H54" i="24"/>
  <c r="I54" i="24" s="1"/>
  <c r="AF54" i="24" s="1"/>
  <c r="H22" i="24"/>
  <c r="I23" i="24"/>
  <c r="AF23" i="24" s="1"/>
  <c r="G68" i="24"/>
  <c r="I69" i="24"/>
  <c r="AF69" i="24" s="1"/>
  <c r="G67" i="24" l="1"/>
  <c r="I68" i="24"/>
  <c r="AF68" i="24" s="1"/>
  <c r="I22" i="24"/>
  <c r="AF22" i="24" s="1"/>
  <c r="H21" i="24"/>
  <c r="I21" i="24" s="1"/>
  <c r="G66" i="24" l="1"/>
  <c r="I67" i="24"/>
  <c r="AF67" i="24" s="1"/>
  <c r="I66" i="24" l="1"/>
  <c r="AF66" i="24" s="1"/>
  <c r="G7" i="24"/>
  <c r="G78" i="24" s="1"/>
  <c r="N24" i="20"/>
  <c r="G53" i="20"/>
  <c r="G27" i="20"/>
  <c r="G23" i="20"/>
  <c r="G22" i="20"/>
  <c r="N23" i="20" l="1"/>
  <c r="N22" i="20"/>
  <c r="N93" i="20"/>
  <c r="N95" i="20"/>
  <c r="N97" i="20"/>
  <c r="N90" i="20"/>
  <c r="N85" i="20"/>
  <c r="N86" i="20"/>
  <c r="N84" i="20"/>
  <c r="N78" i="20"/>
  <c r="N70" i="20"/>
  <c r="N72" i="20"/>
  <c r="N61" i="20"/>
  <c r="N63" i="20"/>
  <c r="N64" i="20"/>
  <c r="N65" i="20"/>
  <c r="N66" i="20"/>
  <c r="N50" i="20"/>
  <c r="N51" i="20"/>
  <c r="N52" i="20"/>
  <c r="N53" i="20"/>
  <c r="N54" i="20"/>
  <c r="N55" i="20"/>
  <c r="N57" i="20"/>
  <c r="N44" i="20"/>
  <c r="N45" i="20"/>
  <c r="N46" i="20"/>
  <c r="G13" i="20"/>
  <c r="G98" i="20"/>
  <c r="G96" i="20"/>
  <c r="G81" i="20"/>
  <c r="G80" i="20"/>
  <c r="G79" i="20"/>
  <c r="G62" i="20"/>
  <c r="G56" i="20"/>
  <c r="G43" i="20"/>
  <c r="N80" i="20" l="1"/>
  <c r="N96" i="20"/>
  <c r="N81" i="20"/>
  <c r="N98" i="20"/>
  <c r="N62" i="20"/>
  <c r="N79" i="20"/>
  <c r="N56" i="20"/>
  <c r="C98" i="20"/>
  <c r="C96" i="20"/>
  <c r="D8" i="20" l="1"/>
  <c r="E8" i="20"/>
  <c r="C94" i="20" l="1"/>
  <c r="C62" i="20"/>
  <c r="D81" i="20" l="1"/>
  <c r="G94" i="20"/>
  <c r="G92" i="20"/>
  <c r="G71" i="20"/>
  <c r="N71" i="20" l="1"/>
  <c r="N94" i="20"/>
  <c r="D86" i="20"/>
  <c r="E61" i="20"/>
  <c r="D61" i="20"/>
  <c r="C56" i="20"/>
  <c r="C53" i="20"/>
  <c r="C51" i="20"/>
  <c r="C49" i="20"/>
  <c r="L100" i="20" l="1"/>
  <c r="K100" i="20"/>
  <c r="J100" i="20"/>
  <c r="I100" i="20"/>
  <c r="H100" i="20"/>
  <c r="G100" i="20"/>
  <c r="E100" i="20"/>
  <c r="L91" i="20"/>
  <c r="K91" i="20"/>
  <c r="J91" i="20"/>
  <c r="I91" i="20"/>
  <c r="H91" i="20"/>
  <c r="G91" i="20"/>
  <c r="E91" i="20"/>
  <c r="D91" i="20"/>
  <c r="L88" i="20"/>
  <c r="K88" i="20"/>
  <c r="J88" i="20"/>
  <c r="I88" i="20"/>
  <c r="H88" i="20"/>
  <c r="G88" i="20"/>
  <c r="E88" i="20"/>
  <c r="D88" i="20"/>
  <c r="L83" i="20"/>
  <c r="K83" i="20"/>
  <c r="J83" i="20"/>
  <c r="I83" i="20"/>
  <c r="H83" i="20"/>
  <c r="G83" i="20"/>
  <c r="E83" i="20"/>
  <c r="D83" i="20"/>
  <c r="C83" i="20"/>
  <c r="L77" i="20"/>
  <c r="K77" i="20"/>
  <c r="J77" i="20"/>
  <c r="I77" i="20"/>
  <c r="H77" i="20"/>
  <c r="G77" i="20"/>
  <c r="E77" i="20"/>
  <c r="D77" i="20"/>
  <c r="E74" i="20"/>
  <c r="L68" i="20"/>
  <c r="K68" i="20"/>
  <c r="J68" i="20"/>
  <c r="I68" i="20"/>
  <c r="H68" i="20"/>
  <c r="G68" i="20"/>
  <c r="E68" i="20"/>
  <c r="D68" i="20"/>
  <c r="L59" i="20"/>
  <c r="K59" i="20"/>
  <c r="J59" i="20"/>
  <c r="I59" i="20"/>
  <c r="H59" i="20"/>
  <c r="G59" i="20"/>
  <c r="E59" i="20"/>
  <c r="D59" i="20"/>
  <c r="L48" i="20"/>
  <c r="K48" i="20"/>
  <c r="J48" i="20"/>
  <c r="I48" i="20"/>
  <c r="H48" i="20"/>
  <c r="G48" i="20"/>
  <c r="E48" i="20"/>
  <c r="D48" i="20"/>
  <c r="L42" i="20"/>
  <c r="K42" i="20"/>
  <c r="J42" i="20"/>
  <c r="I42" i="20"/>
  <c r="H42" i="20"/>
  <c r="G42" i="20"/>
  <c r="E42" i="20"/>
  <c r="D42" i="20"/>
  <c r="C91" i="20"/>
  <c r="C88" i="20"/>
  <c r="C68" i="20"/>
  <c r="C59" i="20"/>
  <c r="C100" i="20"/>
  <c r="N102" i="20"/>
  <c r="D102" i="20"/>
  <c r="F102" i="20" s="1"/>
  <c r="M102" i="20" l="1"/>
  <c r="P102" i="20" s="1"/>
  <c r="J37" i="20"/>
  <c r="D100" i="20"/>
  <c r="E40" i="20"/>
  <c r="O102" i="20" l="1"/>
  <c r="N104" i="20"/>
  <c r="F104" i="20" l="1"/>
  <c r="M104" i="20" l="1"/>
  <c r="O104" i="20" s="1"/>
  <c r="P104" i="20"/>
  <c r="F86" i="20"/>
  <c r="F97" i="20"/>
  <c r="F95" i="20"/>
  <c r="F93" i="20"/>
  <c r="F90" i="20"/>
  <c r="F89" i="20"/>
  <c r="F107" i="20"/>
  <c r="F85" i="20"/>
  <c r="F84" i="20"/>
  <c r="F78" i="20"/>
  <c r="F75" i="20"/>
  <c r="F106" i="20"/>
  <c r="F72" i="20"/>
  <c r="F70" i="20"/>
  <c r="F69" i="20"/>
  <c r="F105" i="20"/>
  <c r="F66" i="20"/>
  <c r="F65" i="20"/>
  <c r="F103" i="20"/>
  <c r="F63" i="20"/>
  <c r="F60" i="20"/>
  <c r="F57" i="20"/>
  <c r="F55" i="20"/>
  <c r="F54" i="20"/>
  <c r="F52" i="20"/>
  <c r="F50" i="20"/>
  <c r="F46" i="20"/>
  <c r="F45" i="20"/>
  <c r="F44" i="20"/>
  <c r="F88" i="20" l="1"/>
  <c r="F83" i="20"/>
  <c r="F61" i="20"/>
  <c r="F64" i="20"/>
  <c r="F98" i="20"/>
  <c r="F94" i="20"/>
  <c r="F81" i="20"/>
  <c r="F80" i="20" l="1"/>
  <c r="F79" i="20"/>
  <c r="F51" i="20"/>
  <c r="C43" i="20"/>
  <c r="F43" i="20" s="1"/>
  <c r="F42" i="20" l="1"/>
  <c r="F77" i="20"/>
  <c r="F62" i="20"/>
  <c r="F59" i="20" l="1"/>
  <c r="M65" i="20" l="1"/>
  <c r="P65" i="20" s="1"/>
  <c r="N101" i="20"/>
  <c r="F101" i="20"/>
  <c r="N103" i="20"/>
  <c r="P103" i="20" s="1"/>
  <c r="M103" i="20"/>
  <c r="N106" i="20"/>
  <c r="M106" i="20"/>
  <c r="N107" i="20"/>
  <c r="M107" i="20"/>
  <c r="N105" i="20"/>
  <c r="M105" i="20"/>
  <c r="N83" i="20"/>
  <c r="M86" i="20"/>
  <c r="P86" i="20" s="1"/>
  <c r="M72" i="20"/>
  <c r="P72" i="20" s="1"/>
  <c r="M70" i="20"/>
  <c r="P70" i="20" s="1"/>
  <c r="M66" i="20"/>
  <c r="M63" i="20"/>
  <c r="P63" i="20" s="1"/>
  <c r="M61" i="20"/>
  <c r="P61" i="20" s="1"/>
  <c r="M57" i="20"/>
  <c r="P57" i="20" s="1"/>
  <c r="M50" i="20"/>
  <c r="P50" i="20" s="1"/>
  <c r="M54" i="20"/>
  <c r="P54" i="20" s="1"/>
  <c r="M97" i="20"/>
  <c r="P97" i="20" s="1"/>
  <c r="M95" i="20"/>
  <c r="P95" i="20" s="1"/>
  <c r="M93" i="20"/>
  <c r="P93" i="20" s="1"/>
  <c r="M46" i="20"/>
  <c r="P46" i="20" s="1"/>
  <c r="M44" i="20"/>
  <c r="P44" i="20" s="1"/>
  <c r="M81" i="20"/>
  <c r="P81" i="20" s="1"/>
  <c r="F53" i="20"/>
  <c r="F49" i="20"/>
  <c r="C42" i="20"/>
  <c r="N8" i="20"/>
  <c r="N27" i="20"/>
  <c r="N13" i="20"/>
  <c r="N14" i="20"/>
  <c r="F8" i="20"/>
  <c r="C22" i="20"/>
  <c r="F22" i="20" s="1"/>
  <c r="G124" i="20"/>
  <c r="E124" i="20"/>
  <c r="D124" i="20"/>
  <c r="C124" i="20"/>
  <c r="F123" i="20"/>
  <c r="F122" i="20"/>
  <c r="F121" i="20"/>
  <c r="N109" i="20"/>
  <c r="M109" i="20"/>
  <c r="K109" i="20"/>
  <c r="M98" i="20"/>
  <c r="P98" i="20" s="1"/>
  <c r="M94" i="20"/>
  <c r="P94" i="20" s="1"/>
  <c r="N92" i="20"/>
  <c r="M90" i="20"/>
  <c r="N89" i="20"/>
  <c r="M89" i="20"/>
  <c r="M85" i="20"/>
  <c r="P85" i="20" s="1"/>
  <c r="M84" i="20"/>
  <c r="M80" i="20"/>
  <c r="P80" i="20" s="1"/>
  <c r="M78" i="20"/>
  <c r="N75" i="20"/>
  <c r="M75" i="20"/>
  <c r="L74" i="20"/>
  <c r="L40" i="20" s="1"/>
  <c r="L37" i="20" s="1"/>
  <c r="K74" i="20"/>
  <c r="K40" i="20" s="1"/>
  <c r="K37" i="20" s="1"/>
  <c r="I74" i="20"/>
  <c r="H74" i="20"/>
  <c r="G74" i="20"/>
  <c r="G40" i="20" s="1"/>
  <c r="D74" i="20"/>
  <c r="D40" i="20" s="1"/>
  <c r="C74" i="20"/>
  <c r="N69" i="20"/>
  <c r="M69" i="20"/>
  <c r="M62" i="20"/>
  <c r="P62" i="20" s="1"/>
  <c r="N60" i="20"/>
  <c r="M60" i="20"/>
  <c r="M55" i="20"/>
  <c r="P55" i="20" s="1"/>
  <c r="M52" i="20"/>
  <c r="P52" i="20" s="1"/>
  <c r="M51" i="20"/>
  <c r="P51" i="20" s="1"/>
  <c r="N49" i="20"/>
  <c r="M45" i="20"/>
  <c r="P45" i="20" s="1"/>
  <c r="E37" i="20"/>
  <c r="O33" i="20"/>
  <c r="N32" i="20"/>
  <c r="K32" i="20"/>
  <c r="F32" i="20"/>
  <c r="N31" i="20"/>
  <c r="K31" i="20"/>
  <c r="F31" i="20"/>
  <c r="L30" i="20"/>
  <c r="J30" i="20"/>
  <c r="I30" i="20"/>
  <c r="H30" i="20"/>
  <c r="G30" i="20"/>
  <c r="E30" i="20"/>
  <c r="D30" i="20"/>
  <c r="C30" i="20"/>
  <c r="N28" i="20"/>
  <c r="F28" i="20"/>
  <c r="M28" i="20" s="1"/>
  <c r="C27" i="20"/>
  <c r="C26" i="20" s="1"/>
  <c r="L26" i="20"/>
  <c r="K26" i="20"/>
  <c r="J26" i="20"/>
  <c r="I26" i="20"/>
  <c r="H26" i="20"/>
  <c r="E26" i="20"/>
  <c r="D26" i="20"/>
  <c r="F24" i="20"/>
  <c r="M24" i="20" s="1"/>
  <c r="P24" i="20" s="1"/>
  <c r="C23" i="20"/>
  <c r="F23" i="20" s="1"/>
  <c r="N21" i="20"/>
  <c r="F21" i="20"/>
  <c r="E20" i="20"/>
  <c r="D20" i="20"/>
  <c r="N18" i="20"/>
  <c r="K18" i="20"/>
  <c r="L17" i="20"/>
  <c r="J17" i="20"/>
  <c r="I17" i="20"/>
  <c r="H17" i="20"/>
  <c r="N15" i="20"/>
  <c r="F15" i="20"/>
  <c r="D14" i="20"/>
  <c r="F14" i="20" s="1"/>
  <c r="C13" i="20"/>
  <c r="F13" i="20" s="1"/>
  <c r="E12" i="20"/>
  <c r="N10" i="20"/>
  <c r="K10" i="20"/>
  <c r="N9" i="20"/>
  <c r="F9" i="20"/>
  <c r="M9" i="20" s="1"/>
  <c r="M15" i="20" l="1"/>
  <c r="P15" i="20" s="1"/>
  <c r="M21" i="20"/>
  <c r="O21" i="20" s="1"/>
  <c r="M88" i="20"/>
  <c r="M22" i="20"/>
  <c r="P22" i="20" s="1"/>
  <c r="M53" i="20"/>
  <c r="P53" i="20" s="1"/>
  <c r="M13" i="20"/>
  <c r="P13" i="20" s="1"/>
  <c r="M8" i="20"/>
  <c r="P8" i="20" s="1"/>
  <c r="M14" i="20"/>
  <c r="P14" i="20" s="1"/>
  <c r="M10" i="20"/>
  <c r="P10" i="20" s="1"/>
  <c r="M18" i="20"/>
  <c r="M17" i="20" s="1"/>
  <c r="N17" i="20"/>
  <c r="O78" i="20"/>
  <c r="P78" i="20"/>
  <c r="P60" i="20"/>
  <c r="N88" i="20"/>
  <c r="P89" i="20"/>
  <c r="P28" i="20"/>
  <c r="O84" i="20"/>
  <c r="P84" i="20"/>
  <c r="O90" i="20"/>
  <c r="P90" i="20"/>
  <c r="N74" i="20"/>
  <c r="P75" i="20"/>
  <c r="P106" i="20"/>
  <c r="P69" i="20"/>
  <c r="P107" i="20"/>
  <c r="P105" i="20"/>
  <c r="M83" i="20"/>
  <c r="P83" i="20" s="1"/>
  <c r="N100" i="20"/>
  <c r="N91" i="20"/>
  <c r="N77" i="20"/>
  <c r="N68" i="20"/>
  <c r="N59" i="20"/>
  <c r="M101" i="20"/>
  <c r="M100" i="20" s="1"/>
  <c r="F100" i="20"/>
  <c r="I37" i="20"/>
  <c r="F92" i="20"/>
  <c r="H37" i="20"/>
  <c r="F96" i="20"/>
  <c r="F71" i="20"/>
  <c r="O93" i="20"/>
  <c r="O97" i="20"/>
  <c r="O50" i="20"/>
  <c r="O65" i="20"/>
  <c r="F56" i="20"/>
  <c r="M43" i="20"/>
  <c r="M42" i="20" s="1"/>
  <c r="N48" i="20"/>
  <c r="C48" i="20"/>
  <c r="C77" i="20"/>
  <c r="O107" i="20"/>
  <c r="O95" i="20"/>
  <c r="O54" i="20"/>
  <c r="O57" i="20"/>
  <c r="O86" i="20"/>
  <c r="O105" i="20"/>
  <c r="F27" i="20"/>
  <c r="O103" i="20"/>
  <c r="O106" i="20"/>
  <c r="I34" i="20"/>
  <c r="F30" i="20"/>
  <c r="O63" i="20"/>
  <c r="O72" i="20"/>
  <c r="O85" i="20"/>
  <c r="O61" i="20"/>
  <c r="O70" i="20"/>
  <c r="O89" i="20"/>
  <c r="N30" i="20"/>
  <c r="O9" i="20"/>
  <c r="C12" i="20"/>
  <c r="O60" i="20"/>
  <c r="O66" i="20"/>
  <c r="D12" i="20"/>
  <c r="D34" i="20" s="1"/>
  <c r="L34" i="20"/>
  <c r="O24" i="20"/>
  <c r="O28" i="20"/>
  <c r="K30" i="20"/>
  <c r="M79" i="20"/>
  <c r="O109" i="20"/>
  <c r="O44" i="20"/>
  <c r="O80" i="20"/>
  <c r="F124" i="20"/>
  <c r="O46" i="20"/>
  <c r="O51" i="20"/>
  <c r="M32" i="20"/>
  <c r="O32" i="20" s="1"/>
  <c r="N12" i="20"/>
  <c r="J34" i="20"/>
  <c r="J111" i="20" s="1"/>
  <c r="K17" i="20"/>
  <c r="M31" i="20"/>
  <c r="P31" i="20" s="1"/>
  <c r="O15" i="20"/>
  <c r="H34" i="20"/>
  <c r="O52" i="20"/>
  <c r="O55" i="20"/>
  <c r="O62" i="20"/>
  <c r="N26" i="20"/>
  <c r="O98" i="20"/>
  <c r="O81" i="20"/>
  <c r="O45" i="20"/>
  <c r="N43" i="20"/>
  <c r="G26" i="20"/>
  <c r="G12" i="20"/>
  <c r="N20" i="20"/>
  <c r="G20" i="20"/>
  <c r="O69" i="20"/>
  <c r="O13" i="20"/>
  <c r="O75" i="20"/>
  <c r="O74" i="20" s="1"/>
  <c r="M74" i="20"/>
  <c r="O94" i="20"/>
  <c r="M23" i="20"/>
  <c r="F20" i="20"/>
  <c r="C20" i="20"/>
  <c r="E34" i="20"/>
  <c r="E111" i="20" s="1"/>
  <c r="F74" i="20"/>
  <c r="F12" i="20"/>
  <c r="H90" i="15"/>
  <c r="H81" i="15"/>
  <c r="H70" i="15"/>
  <c r="H69" i="15" s="1"/>
  <c r="H66" i="15"/>
  <c r="H65" i="15" s="1"/>
  <c r="H64" i="15" s="1"/>
  <c r="H63" i="15" s="1"/>
  <c r="H62" i="15" s="1"/>
  <c r="H60" i="15"/>
  <c r="H59" i="15" s="1"/>
  <c r="H57" i="15"/>
  <c r="H54" i="15"/>
  <c r="H53" i="15" s="1"/>
  <c r="H49" i="15"/>
  <c r="H48" i="15"/>
  <c r="H45" i="15"/>
  <c r="H42" i="15"/>
  <c r="H37" i="15"/>
  <c r="H32" i="15"/>
  <c r="H28" i="15"/>
  <c r="H24" i="15"/>
  <c r="H23" i="15" s="1"/>
  <c r="H22" i="15" s="1"/>
  <c r="H17" i="15"/>
  <c r="H14" i="15"/>
  <c r="H12" i="15" s="1"/>
  <c r="O22" i="20" l="1"/>
  <c r="O14" i="20"/>
  <c r="M12" i="20"/>
  <c r="P21" i="20"/>
  <c r="P101" i="20"/>
  <c r="O101" i="20"/>
  <c r="O100" i="20" s="1"/>
  <c r="M92" i="20"/>
  <c r="P92" i="20" s="1"/>
  <c r="P17" i="20"/>
  <c r="O10" i="20"/>
  <c r="O18" i="20"/>
  <c r="O17" i="20" s="1"/>
  <c r="M96" i="20"/>
  <c r="P96" i="20" s="1"/>
  <c r="P88" i="20"/>
  <c r="F26" i="20"/>
  <c r="M56" i="20"/>
  <c r="O56" i="20" s="1"/>
  <c r="P18" i="20"/>
  <c r="P74" i="20"/>
  <c r="O88" i="20"/>
  <c r="O23" i="20"/>
  <c r="P23" i="20"/>
  <c r="P12" i="20"/>
  <c r="P32" i="20"/>
  <c r="M77" i="20"/>
  <c r="P77" i="20" s="1"/>
  <c r="P79" i="20"/>
  <c r="O96" i="20"/>
  <c r="N42" i="20"/>
  <c r="P42" i="20" s="1"/>
  <c r="P43" i="20"/>
  <c r="P100" i="20"/>
  <c r="C40" i="20"/>
  <c r="F91" i="20"/>
  <c r="O83" i="20"/>
  <c r="M71" i="20"/>
  <c r="O71" i="20" s="1"/>
  <c r="O68" i="20" s="1"/>
  <c r="F68" i="20"/>
  <c r="F48" i="20"/>
  <c r="G37" i="20"/>
  <c r="H111" i="20"/>
  <c r="O53" i="20"/>
  <c r="M27" i="20"/>
  <c r="I111" i="20"/>
  <c r="H52" i="15"/>
  <c r="H26" i="15"/>
  <c r="M20" i="20"/>
  <c r="P20" i="20" s="1"/>
  <c r="O31" i="20"/>
  <c r="O30" i="20" s="1"/>
  <c r="M30" i="20"/>
  <c r="P30" i="20" s="1"/>
  <c r="K34" i="20"/>
  <c r="K111" i="20" s="1"/>
  <c r="M49" i="20"/>
  <c r="N34" i="20"/>
  <c r="C34" i="20"/>
  <c r="O20" i="20"/>
  <c r="L111" i="20"/>
  <c r="G34" i="20"/>
  <c r="O12" i="20"/>
  <c r="O43" i="20"/>
  <c r="O42" i="20" s="1"/>
  <c r="O79" i="20"/>
  <c r="O77" i="20" s="1"/>
  <c r="O8" i="20"/>
  <c r="M64" i="20"/>
  <c r="H51" i="15"/>
  <c r="H11" i="15"/>
  <c r="F34" i="20" l="1"/>
  <c r="M91" i="20"/>
  <c r="P91" i="20" s="1"/>
  <c r="O92" i="20"/>
  <c r="O91" i="20" s="1"/>
  <c r="P56" i="20"/>
  <c r="M26" i="20"/>
  <c r="P26" i="20" s="1"/>
  <c r="P27" i="20"/>
  <c r="M59" i="20"/>
  <c r="P59" i="20" s="1"/>
  <c r="P64" i="20"/>
  <c r="M48" i="20"/>
  <c r="P48" i="20" s="1"/>
  <c r="P49" i="20"/>
  <c r="M68" i="20"/>
  <c r="P68" i="20" s="1"/>
  <c r="P71" i="20"/>
  <c r="N40" i="20"/>
  <c r="H21" i="15"/>
  <c r="G111" i="20"/>
  <c r="F40" i="20"/>
  <c r="O27" i="20"/>
  <c r="O64" i="20"/>
  <c r="O59" i="20" s="1"/>
  <c r="O49" i="20"/>
  <c r="O48" i="20" s="1"/>
  <c r="H10" i="15"/>
  <c r="M34" i="20" l="1"/>
  <c r="P34" i="20" s="1"/>
  <c r="F37" i="20"/>
  <c r="M40" i="20"/>
  <c r="P40" i="20" s="1"/>
  <c r="N37" i="20"/>
  <c r="O26" i="20"/>
  <c r="O34" i="20" s="1"/>
  <c r="O40" i="20"/>
  <c r="O37" i="20" s="1"/>
  <c r="H9" i="15"/>
  <c r="F111" i="20" l="1"/>
  <c r="M37" i="20"/>
  <c r="M111" i="20" s="1"/>
  <c r="N111" i="20"/>
  <c r="O111" i="20"/>
  <c r="H8" i="15"/>
  <c r="P37" i="20" l="1"/>
  <c r="P111" i="20"/>
  <c r="H7" i="15"/>
  <c r="H74" i="15" l="1"/>
  <c r="F12" i="15"/>
  <c r="E12" i="15"/>
  <c r="G61" i="15" l="1"/>
  <c r="I61" i="15" s="1"/>
  <c r="E60" i="15"/>
  <c r="D12" i="15"/>
  <c r="F90" i="15" l="1"/>
  <c r="E90" i="15"/>
  <c r="D90" i="15"/>
  <c r="G89" i="15"/>
  <c r="G90" i="15" l="1"/>
  <c r="I90" i="15" s="1"/>
  <c r="I89" i="15"/>
  <c r="G68" i="15"/>
  <c r="I68" i="15" s="1"/>
  <c r="G67" i="15"/>
  <c r="I67" i="15" s="1"/>
  <c r="F66" i="15"/>
  <c r="E66" i="15"/>
  <c r="D66" i="15"/>
  <c r="G56" i="15"/>
  <c r="I56" i="15" s="1"/>
  <c r="G55" i="15"/>
  <c r="I55" i="15" s="1"/>
  <c r="F54" i="15"/>
  <c r="E54" i="15"/>
  <c r="D54" i="15"/>
  <c r="G47" i="15"/>
  <c r="I47" i="15" s="1"/>
  <c r="G46" i="15"/>
  <c r="I46" i="15" s="1"/>
  <c r="F45" i="15"/>
  <c r="E45" i="15"/>
  <c r="D45" i="15"/>
  <c r="G44" i="15"/>
  <c r="I44" i="15" s="1"/>
  <c r="G43" i="15"/>
  <c r="I43" i="15" s="1"/>
  <c r="F42" i="15"/>
  <c r="E42" i="15"/>
  <c r="D42" i="15"/>
  <c r="G41" i="15"/>
  <c r="I41" i="15" s="1"/>
  <c r="G40" i="15"/>
  <c r="I40" i="15" s="1"/>
  <c r="G39" i="15"/>
  <c r="I39" i="15" s="1"/>
  <c r="G38" i="15"/>
  <c r="I38" i="15" s="1"/>
  <c r="F37" i="15"/>
  <c r="E37" i="15"/>
  <c r="D37" i="15"/>
  <c r="G36" i="15"/>
  <c r="I36" i="15" s="1"/>
  <c r="G35" i="15"/>
  <c r="I35" i="15" s="1"/>
  <c r="G34" i="15"/>
  <c r="I34" i="15" s="1"/>
  <c r="G33" i="15"/>
  <c r="I33" i="15" s="1"/>
  <c r="F32" i="15"/>
  <c r="E32" i="15"/>
  <c r="D32" i="15"/>
  <c r="G31" i="15"/>
  <c r="I31" i="15" s="1"/>
  <c r="G30" i="15"/>
  <c r="I30" i="15" s="1"/>
  <c r="G29" i="15"/>
  <c r="I29" i="15" s="1"/>
  <c r="F28" i="15"/>
  <c r="E28" i="15"/>
  <c r="D28" i="15"/>
  <c r="G20" i="15"/>
  <c r="I20" i="15" s="1"/>
  <c r="G19" i="15"/>
  <c r="I19" i="15" s="1"/>
  <c r="G18" i="15"/>
  <c r="I18" i="15" s="1"/>
  <c r="D17" i="15"/>
  <c r="G16" i="15"/>
  <c r="I16" i="15" s="1"/>
  <c r="G15" i="15"/>
  <c r="I15" i="15" s="1"/>
  <c r="G14" i="15"/>
  <c r="I14" i="15" s="1"/>
  <c r="G13" i="15"/>
  <c r="I13" i="15" s="1"/>
  <c r="G54" i="15" l="1"/>
  <c r="I54" i="15" s="1"/>
  <c r="G42" i="15"/>
  <c r="I42" i="15" s="1"/>
  <c r="G66" i="15"/>
  <c r="I66" i="15" s="1"/>
  <c r="D26" i="15"/>
  <c r="G12" i="15"/>
  <c r="I12" i="15" s="1"/>
  <c r="E26" i="15"/>
  <c r="F26" i="15"/>
  <c r="G45" i="15"/>
  <c r="I45" i="15" s="1"/>
  <c r="G37" i="15"/>
  <c r="I37" i="15" s="1"/>
  <c r="G28" i="15"/>
  <c r="I28" i="15" s="1"/>
  <c r="G32" i="15"/>
  <c r="I32" i="15" s="1"/>
  <c r="G17" i="15"/>
  <c r="I17" i="15" s="1"/>
  <c r="F11" i="15" l="1"/>
  <c r="F10" i="15" s="1"/>
  <c r="F9" i="15" s="1"/>
  <c r="E11" i="15"/>
  <c r="E10" i="15" s="1"/>
  <c r="E9" i="15" s="1"/>
  <c r="F24" i="15"/>
  <c r="F23" i="15" s="1"/>
  <c r="F22" i="15" s="1"/>
  <c r="E24" i="15"/>
  <c r="E23" i="15" s="1"/>
  <c r="E22" i="15" s="1"/>
  <c r="F49" i="15"/>
  <c r="F48" i="15" s="1"/>
  <c r="E49" i="15"/>
  <c r="E48" i="15" s="1"/>
  <c r="F57" i="15"/>
  <c r="E57" i="15"/>
  <c r="G53" i="15"/>
  <c r="I53" i="15" s="1"/>
  <c r="F53" i="15"/>
  <c r="E53" i="15"/>
  <c r="G65" i="15"/>
  <c r="D59" i="15"/>
  <c r="G60" i="15"/>
  <c r="I60" i="15" s="1"/>
  <c r="E59" i="15"/>
  <c r="G58" i="15"/>
  <c r="I58" i="15" s="1"/>
  <c r="G50" i="15"/>
  <c r="I50" i="15" s="1"/>
  <c r="G25" i="15"/>
  <c r="I25" i="15" s="1"/>
  <c r="D49" i="15"/>
  <c r="D48" i="15" s="1"/>
  <c r="D65" i="15"/>
  <c r="D64" i="15" s="1"/>
  <c r="D63" i="15" s="1"/>
  <c r="D62" i="15" s="1"/>
  <c r="D53" i="15"/>
  <c r="D57" i="15"/>
  <c r="D24" i="15"/>
  <c r="D23" i="15" s="1"/>
  <c r="D11" i="15"/>
  <c r="D10" i="15" s="1"/>
  <c r="D9" i="15" s="1"/>
  <c r="G64" i="15" l="1"/>
  <c r="I65" i="15"/>
  <c r="G57" i="15"/>
  <c r="I57" i="15" s="1"/>
  <c r="F52" i="15"/>
  <c r="F51" i="15" s="1"/>
  <c r="E52" i="15"/>
  <c r="E51" i="15" s="1"/>
  <c r="E21" i="15" s="1"/>
  <c r="D52" i="15"/>
  <c r="D51" i="15" s="1"/>
  <c r="G59" i="15"/>
  <c r="I59" i="15" s="1"/>
  <c r="G52" i="15" l="1"/>
  <c r="I52" i="15" s="1"/>
  <c r="G63" i="15"/>
  <c r="I64" i="15"/>
  <c r="G51" i="15"/>
  <c r="I51" i="15" s="1"/>
  <c r="G62" i="15" l="1"/>
  <c r="I62" i="15" s="1"/>
  <c r="I63" i="15"/>
  <c r="G73" i="15" l="1"/>
  <c r="I73" i="15" s="1"/>
  <c r="G72" i="15"/>
  <c r="I72" i="15" s="1"/>
  <c r="G71" i="15"/>
  <c r="I71" i="15" s="1"/>
  <c r="F21" i="15" l="1"/>
  <c r="F8" i="15" s="1"/>
  <c r="F7" i="15" s="1"/>
  <c r="F70" i="15" l="1"/>
  <c r="F69" i="15" s="1"/>
  <c r="F63" i="15"/>
  <c r="F74" i="15" l="1"/>
  <c r="D81" i="15" l="1"/>
  <c r="G79" i="15"/>
  <c r="G78" i="15"/>
  <c r="E81" i="15" l="1"/>
  <c r="G81" i="15"/>
  <c r="G24" i="15" l="1"/>
  <c r="I24" i="15" l="1"/>
  <c r="G23" i="15"/>
  <c r="I23" i="15" s="1"/>
  <c r="G27" i="15"/>
  <c r="I27" i="15" s="1"/>
  <c r="G26" i="15" l="1"/>
  <c r="I26" i="15" s="1"/>
  <c r="AF66" i="15" l="1"/>
  <c r="AF65" i="15"/>
  <c r="AF64" i="15"/>
  <c r="AF62" i="15"/>
  <c r="AF52" i="15"/>
  <c r="T71" i="15" l="1"/>
  <c r="U71" i="15" s="1"/>
  <c r="T72" i="15"/>
  <c r="E63" i="15" l="1"/>
  <c r="AF37" i="15" l="1"/>
  <c r="AF72" i="15"/>
  <c r="AF71" i="15"/>
  <c r="E70" i="15"/>
  <c r="E69" i="15" s="1"/>
  <c r="D70" i="15"/>
  <c r="D69" i="15" s="1"/>
  <c r="AF50" i="15"/>
  <c r="G49" i="15"/>
  <c r="AF45" i="15"/>
  <c r="AF42" i="15"/>
  <c r="AF32" i="15"/>
  <c r="G48" i="15" l="1"/>
  <c r="I48" i="15" s="1"/>
  <c r="I49" i="15"/>
  <c r="AF49" i="15" s="1"/>
  <c r="AF27" i="15"/>
  <c r="AF63" i="15"/>
  <c r="AF28" i="15"/>
  <c r="AG37" i="15"/>
  <c r="AF54" i="15"/>
  <c r="AF57" i="15"/>
  <c r="AF58" i="15"/>
  <c r="AF73" i="15"/>
  <c r="AF59" i="15"/>
  <c r="G70" i="15"/>
  <c r="D22" i="15"/>
  <c r="D21" i="15" s="1"/>
  <c r="D8" i="15" s="1"/>
  <c r="G69" i="15" l="1"/>
  <c r="I69" i="15" s="1"/>
  <c r="I70" i="15"/>
  <c r="AF70" i="15" s="1"/>
  <c r="D7" i="15"/>
  <c r="D74" i="15" s="1"/>
  <c r="D76" i="15" s="1"/>
  <c r="G21" i="15"/>
  <c r="I21" i="15" s="1"/>
  <c r="AF48" i="15"/>
  <c r="AF53" i="15"/>
  <c r="AF17" i="15" l="1"/>
  <c r="AF21" i="15"/>
  <c r="AF69" i="15"/>
  <c r="AF51" i="15" l="1"/>
  <c r="G11" i="15" l="1"/>
  <c r="I11" i="15" s="1"/>
  <c r="E8" i="15"/>
  <c r="E7" i="15" s="1"/>
  <c r="E74" i="15" s="1"/>
  <c r="AF23" i="15"/>
  <c r="G22" i="15"/>
  <c r="I22" i="15" l="1"/>
  <c r="G10" i="15"/>
  <c r="I10" i="15" s="1"/>
  <c r="AF11" i="15"/>
  <c r="AF22" i="15" l="1"/>
  <c r="G9" i="15"/>
  <c r="I9" i="15" s="1"/>
  <c r="AF10" i="15"/>
  <c r="AF12" i="15"/>
  <c r="G8" i="15" l="1"/>
  <c r="I8" i="15" s="1"/>
  <c r="G7" i="15" l="1"/>
  <c r="I7" i="15" s="1"/>
  <c r="G74" i="15" l="1"/>
  <c r="I74" i="15" s="1"/>
  <c r="AH75" i="15" s="1"/>
  <c r="AF74" i="15" l="1"/>
  <c r="G76" i="15"/>
  <c r="D37" i="20" l="1"/>
  <c r="D111" i="20" s="1"/>
  <c r="C37" i="20"/>
  <c r="C111" i="20" s="1"/>
  <c r="I13" i="24" l="1"/>
  <c r="H12" i="24"/>
  <c r="I12" i="24" s="1"/>
  <c r="AF12" i="24" s="1"/>
  <c r="I18" i="24"/>
  <c r="H17" i="24"/>
  <c r="I17" i="24"/>
  <c r="AF17" i="24" s="1"/>
  <c r="H11" i="24" l="1"/>
  <c r="I11" i="24"/>
  <c r="AF11" i="24" s="1"/>
  <c r="H10" i="24" l="1"/>
  <c r="I10" i="24"/>
  <c r="AF10" i="24" s="1"/>
  <c r="H9" i="24"/>
  <c r="I9" i="24" l="1"/>
  <c r="H8" i="24"/>
  <c r="H7" i="24" l="1"/>
  <c r="I8" i="24"/>
  <c r="I7" i="24" l="1"/>
  <c r="H78" i="24"/>
  <c r="I78" i="24" l="1"/>
  <c r="AF78" i="24" l="1"/>
  <c r="AH79" i="24"/>
</calcChain>
</file>

<file path=xl/sharedStrings.xml><?xml version="1.0" encoding="utf-8"?>
<sst xmlns="http://schemas.openxmlformats.org/spreadsheetml/2006/main" count="521" uniqueCount="312">
  <si>
    <t>NIVEL RENTISTICO</t>
  </si>
  <si>
    <t>Multas y sanciones</t>
  </si>
  <si>
    <t>Donaciones</t>
  </si>
  <si>
    <t>APORTES DE LA NACION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</si>
  <si>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</si>
  <si>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</si>
  <si>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</si>
  <si>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</si>
  <si>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</si>
  <si>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</si>
  <si>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</si>
  <si>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</si>
  <si>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</si>
  <si>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</si>
  <si>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</si>
  <si>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</si>
  <si>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</si>
  <si>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</si>
  <si>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</si>
  <si>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</si>
  <si>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</si>
  <si>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</si>
  <si>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</si>
  <si>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</si>
  <si>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</si>
  <si>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</si>
  <si>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Funcionamiento- Gastos Generales</t>
  </si>
  <si>
    <t>Funcionamiento- Transferencias</t>
  </si>
  <si>
    <t>Funcionamiento -Gastos de Personal</t>
  </si>
  <si>
    <t>TOTAL INVERSION</t>
  </si>
  <si>
    <t xml:space="preserve"> 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</si>
  <si>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</si>
  <si>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</si>
  <si>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</si>
  <si>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</si>
  <si>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</si>
  <si>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</si>
  <si>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</si>
  <si>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</si>
  <si>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</si>
  <si>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</si>
  <si>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</si>
  <si>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</si>
  <si>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</si>
  <si>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</si>
  <si>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</si>
  <si>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</si>
  <si>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</si>
  <si>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</si>
  <si>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</si>
  <si>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</si>
  <si>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</si>
  <si>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</si>
  <si>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</si>
  <si>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</si>
  <si>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</si>
  <si>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</si>
  <si>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</si>
  <si>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</si>
  <si>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</si>
  <si>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</si>
  <si>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</si>
  <si>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</si>
  <si>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</si>
  <si>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</si>
  <si>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</si>
  <si>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</si>
  <si>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</si>
  <si>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</si>
  <si>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</si>
  <si>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</si>
  <si>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</si>
  <si>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</si>
  <si>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</si>
  <si>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</si>
  <si>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</si>
  <si>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</si>
  <si>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</si>
  <si>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</si>
  <si>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</si>
  <si>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</si>
  <si>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</si>
  <si>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</si>
  <si>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</si>
  <si>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</si>
  <si>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</si>
  <si>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</si>
  <si>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</si>
  <si>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Funcionamiento- Gastos Generales Reserva</t>
  </si>
  <si>
    <t>MODIFICACIONES (ADICIONES)</t>
  </si>
  <si>
    <t>MODIFICACIONES (REDUCCIONES)</t>
  </si>
  <si>
    <t>VIGENCIA 2021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</si>
  <si>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</si>
  <si>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</si>
  <si>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</si>
  <si>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</si>
  <si>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</si>
  <si>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</si>
  <si>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</si>
  <si>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</si>
  <si>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ADICIONES</t>
  </si>
  <si>
    <t>REDUCCIONES</t>
  </si>
  <si>
    <t>INGRESOS PENDIENTES 2020</t>
  </si>
  <si>
    <t>TOTAL INGRESOS VIGENCIA 2021</t>
  </si>
  <si>
    <t>TOTAL INGRESOS VIGENCIA 2020</t>
  </si>
  <si>
    <t>EJECUCION PRESUPUESTAL DE INGRESOS - JUNIO 2021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</si>
  <si>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</si>
  <si>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</si>
  <si>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</si>
  <si>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</si>
  <si>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</si>
  <si>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</si>
  <si>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</si>
  <si>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</si>
  <si>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</si>
  <si>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</si>
  <si>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</si>
  <si>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</si>
  <si>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2.1.2.02 R 21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</si>
  <si>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</si>
  <si>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</si>
  <si>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</si>
  <si>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</si>
  <si>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</si>
  <si>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</si>
  <si>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</si>
  <si>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</si>
  <si>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</si>
  <si>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</si>
  <si>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</si>
  <si>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</si>
  <si>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</si>
  <si>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</si>
  <si>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</si>
  <si>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</si>
  <si>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</si>
  <si>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</si>
  <si>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</si>
  <si>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RECAUDO  A JUNIO-2021</t>
  </si>
  <si>
    <t>Convenio INVIAS 776 de 2021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</si>
  <si>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</si>
  <si>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</si>
  <si>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</si>
  <si>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</si>
  <si>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</si>
  <si>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</si>
  <si>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</si>
  <si>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</si>
  <si>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</si>
  <si>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</si>
  <si>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</si>
  <si>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</si>
  <si>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</si>
  <si>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</si>
  <si>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</si>
  <si>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</si>
  <si>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</si>
  <si>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</si>
  <si>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</si>
  <si>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</si>
  <si>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</si>
  <si>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</si>
  <si>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</si>
  <si>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</si>
  <si>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</si>
  <si>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</si>
  <si>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</si>
  <si>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</si>
  <si>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</si>
  <si>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</si>
  <si>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</si>
  <si>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</si>
  <si>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</si>
  <si>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</si>
  <si>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</si>
  <si>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</si>
  <si>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1.1.02.03</t>
  </si>
  <si>
    <t>Multas, sanciones e intereses de mora</t>
  </si>
  <si>
    <t>1.1.02.03.001</t>
  </si>
  <si>
    <t>1.1.02.03.001.22</t>
  </si>
  <si>
    <t>Multas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</si>
  <si>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</si>
  <si>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</si>
  <si>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</si>
  <si>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</si>
  <si>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</si>
  <si>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</si>
  <si>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</si>
  <si>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</si>
  <si>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</si>
  <si>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</si>
  <si>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</si>
  <si>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1.1.02.06.006</t>
  </si>
  <si>
    <t>Transferencias de otras entidades del gobierno general</t>
  </si>
  <si>
    <t>1.1.02.06.006.06</t>
  </si>
  <si>
    <t>Otras unidades de gobierno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</si>
  <si>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</si>
  <si>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</si>
  <si>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</si>
  <si>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</si>
  <si>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</si>
  <si>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</si>
  <si>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</si>
  <si>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</si>
  <si>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</si>
  <si>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</si>
  <si>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</si>
  <si>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</si>
  <si>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</si>
  <si>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</si>
  <si>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1.1.01.01.014.01.03</t>
  </si>
  <si>
    <t>Sobretasa ambiental - Urbano - rendimientos financieros</t>
  </si>
  <si>
    <t>1.1.01.01.014.01.04</t>
  </si>
  <si>
    <t>Sobretasa ambiental - Urbano -  intereses de mora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</si>
  <si>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</si>
  <si>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</si>
  <si>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</si>
  <si>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</si>
  <si>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</si>
  <si>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</si>
  <si>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</si>
  <si>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</si>
  <si>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</si>
  <si>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</si>
  <si>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1.1.02.02.037.03</t>
  </si>
  <si>
    <t>Seguimiento a licencias y trámites ambientales - intereses de mora</t>
  </si>
  <si>
    <t>1.1.02.02.055.01</t>
  </si>
  <si>
    <t>Tasa por el uso del agua - vigencia actual</t>
  </si>
  <si>
    <t>1.1.02.02.055.02</t>
  </si>
  <si>
    <t>Tasa por el uso del agua - vigencias anteriores</t>
  </si>
  <si>
    <t>1.1.02.02.055.03</t>
  </si>
  <si>
    <t>Tasa por el uso del agua - rendimientos financieros</t>
  </si>
  <si>
    <t>1.1.02.02.055.04</t>
  </si>
  <si>
    <t>Tasa por el uso del agua - intereses de mora</t>
  </si>
  <si>
    <t>1.1.02.02.088.01</t>
  </si>
  <si>
    <t>Tasa retributiva - vigencia actual</t>
  </si>
  <si>
    <t>1.1.02.02.088.02</t>
  </si>
  <si>
    <t>Tasa retributiva - vigencias anteriores</t>
  </si>
  <si>
    <t>1.1.02.02.088.03</t>
  </si>
  <si>
    <t>Tasa retributiva - rendimientos financieros</t>
  </si>
  <si>
    <t>1.1.02.02.088.04</t>
  </si>
  <si>
    <t>Tasa retributiva - intereses de mora</t>
  </si>
  <si>
    <t>1.1.02.02.089.01</t>
  </si>
  <si>
    <t>Tasa por aprovechamiento forestal - vigenica actual</t>
  </si>
  <si>
    <t>1.1.02.02.089.02</t>
  </si>
  <si>
    <t>Tasa por aprovechamiento forestal  - rendimientos financieros</t>
  </si>
  <si>
    <t>1.1.02.02.110.01</t>
  </si>
  <si>
    <t>Sobretasa ambiental - Peajes - vigencia</t>
  </si>
  <si>
    <t>1.1.02.02.110.02</t>
  </si>
  <si>
    <t>Sobretasa ambiental - Peajes -reendimientos financieros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</si>
  <si>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</si>
  <si>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</si>
  <si>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</si>
  <si>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</si>
  <si>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</si>
  <si>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</si>
  <si>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</si>
  <si>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</si>
  <si>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TOTAL INGRESOS REGALIAS VIGENCIA 2021</t>
  </si>
  <si>
    <t>1.1.02.06.006.06.01</t>
  </si>
  <si>
    <t>EJECUCION PRESUPUESTAL DE INGRESOS - RECURSOS REGALIAS-  JUNIO 2021</t>
  </si>
  <si>
    <t>RECURSOS NACION
$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</si>
  <si>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</si>
  <si>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</si>
  <si>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</si>
  <si>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</si>
  <si>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</si>
  <si>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</si>
  <si>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TOTAL PRESUPUESTO  REGALIAS 2021</t>
  </si>
  <si>
    <t>% RECAUDO</t>
  </si>
  <si>
    <t>3208-0900-01 R21</t>
  </si>
  <si>
    <t>3208-0900-02 R21</t>
  </si>
  <si>
    <t>3299-0900-01 R21</t>
  </si>
  <si>
    <t>3299-0900-02 R21</t>
  </si>
  <si>
    <t>3299-0900-03 R21</t>
  </si>
  <si>
    <t>3201-0900-04 R21</t>
  </si>
  <si>
    <t>3201-0900-01 R21</t>
  </si>
  <si>
    <t>3201-0900-06 R21</t>
  </si>
  <si>
    <t>3202-0900-01 R21</t>
  </si>
  <si>
    <t>3202-0900-02 R21</t>
  </si>
  <si>
    <t>3202-0900-04 R21</t>
  </si>
  <si>
    <t>3203-0900-01 R-21</t>
  </si>
  <si>
    <t>3203-0900-02 R-21</t>
  </si>
  <si>
    <t>3206-0900-02 R21</t>
  </si>
  <si>
    <t>3.1 Restauración de ecosistemas y áreas degradadas. Pago Exigible Vigencias Expiradas-Otras obras de ingeniería civil</t>
  </si>
  <si>
    <t>3.4 Áreas protegidas y otras estrategías complementarias para la conservación.-Pago Exigible Vigencias Expiradas-Serv.Prestados a las empresas y serv.de producción</t>
  </si>
  <si>
    <t>7.2 Implementación de estrategias para adaptación al cambio climático.-Pago Exigible Vigencias Expiradas-Serv.prestados a las empresas y Serv.de producción</t>
  </si>
  <si>
    <t>4.2 Regulación del uso y manejo del recurso hídrico.-Pago Exigible Vigencias Expiradas-Servicios prestados a las empresas y servicios de producción</t>
  </si>
  <si>
    <t>3.3 Recuperación, mantenimiento y conservación de la Ciénaga Grande de Santa Marta - CGSM.-Pago Exigible Vigencias Expiradas-Otras obras de ingeniería civil</t>
  </si>
  <si>
    <t>PAGO PASIVO VIGENCIAS EXPIRADAS</t>
  </si>
  <si>
    <t>113-900-999 R20</t>
  </si>
  <si>
    <t>ADICIONES CREDITOS</t>
  </si>
  <si>
    <t>REDUCCIONES CONTRACREDITOS</t>
  </si>
  <si>
    <t>TOTAL RECURSOS 
(PROPIOS - NACION)
$</t>
  </si>
  <si>
    <t>3.4 Áreas protegidas y otras estrategías complementarias para la conservación.-Serv. Prestados a las empresas y serv.de producción.</t>
  </si>
  <si>
    <t>3.4 Áreas protegidas y otras estrategías complementarias para la conservación.-Pago Exigible Vigencias Expiradas-Serv.Prestados a las empresas y serv.de producción.</t>
  </si>
  <si>
    <t>1.1.02.06.006.06.02</t>
  </si>
  <si>
    <t>Convenio CORPOCESAR</t>
  </si>
  <si>
    <t>1.1.02.02.089.03</t>
  </si>
  <si>
    <t>Tasa por aprovechamiento forestal - vigenica anterior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</si>
  <si>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</si>
  <si>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</si>
  <si>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</si>
  <si>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</si>
  <si>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RECAUDO  A AGOSTO-2021</t>
  </si>
  <si>
    <t>PRESUPUESTADO INICIAL</t>
  </si>
  <si>
    <t>EJECUCION PRESUPUESTAL - RECURSOS REGALIAS SEPTIEMBRE 2021</t>
  </si>
  <si>
    <t>EJECUCION PRESUPUESTAL SEPTIEMBRE 2021</t>
  </si>
  <si>
    <t>% COMPROMETIDO</t>
  </si>
  <si>
    <t>EJECUCION PRESUPUESTAL DE INGRESOS - RECURSOS REGALIAS-  SEPTIEMBRE 2021</t>
  </si>
  <si>
    <t>EJECUCION PRESUPUESTAL DE INGRESOS - SEPTIEMBRE 2021</t>
  </si>
  <si>
    <t>RECAUDO  A SEPTIEMBRE-2021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</si>
</sst>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5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7" fontId="4" fillId="0" borderId="0" xfId="1" applyNumberFormat="1" applyFont="1"/>
    <xf numFmtId="0" fontId="7" fillId="0" borderId="0" xfId="0" applyFont="1" applyAlignment="1">
      <alignment horizontal="center"/>
    </xf>
    <xf numFmtId="168" fontId="4" fillId="0" borderId="0" xfId="0" applyNumberFormat="1" applyFont="1"/>
    <xf numFmtId="169" fontId="4" fillId="0" borderId="0" xfId="0" applyNumberFormat="1" applyFont="1"/>
    <xf numFmtId="167" fontId="7" fillId="0" borderId="0" xfId="1" applyNumberFormat="1" applyFont="1"/>
    <xf numFmtId="0" fontId="4" fillId="0" borderId="0" xfId="0" applyFont="1" applyAlignment="1">
      <alignment horizontal="left"/>
    </xf>
    <xf numFmtId="0" fontId="1" fillId="3" borderId="17" xfId="0" applyFont="1" applyFill="1" applyBorder="1" applyAlignment="1">
      <alignment vertical="center"/>
    </xf>
    <xf numFmtId="0" fontId="2" fillId="3" borderId="0" xfId="0" applyFont="1" applyFill="1"/>
    <xf numFmtId="0" fontId="1" fillId="10" borderId="2" xfId="0" applyFont="1" applyFill="1" applyBorder="1" applyAlignment="1">
      <alignment vertical="center"/>
    </xf>
    <xf numFmtId="0" fontId="8" fillId="10" borderId="9" xfId="0" applyFont="1" applyFill="1" applyBorder="1" applyAlignment="1">
      <alignment vertical="center"/>
    </xf>
    <xf numFmtId="0" fontId="8" fillId="3" borderId="0" xfId="0" applyFont="1" applyFill="1"/>
    <xf numFmtId="4" fontId="4" fillId="0" borderId="0" xfId="0" applyNumberFormat="1" applyFont="1"/>
    <xf numFmtId="43" fontId="4" fillId="0" borderId="0" xfId="1" applyFont="1"/>
    <xf numFmtId="43" fontId="7" fillId="0" borderId="0" xfId="1" applyFont="1"/>
    <xf numFmtId="0" fontId="2" fillId="5" borderId="2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10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0" fontId="8" fillId="10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0" fontId="2" fillId="10" borderId="1" xfId="0" applyFont="1" applyFill="1" applyBorder="1" applyAlignment="1">
      <alignment vertical="center"/>
    </xf>
    <xf numFmtId="168" fontId="2" fillId="10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168" fontId="7" fillId="3" borderId="30" xfId="17" applyNumberFormat="1" applyFont="1" applyFill="1" applyBorder="1" applyAlignment="1">
      <alignment vertical="center"/>
    </xf>
    <xf numFmtId="0" fontId="2" fillId="9" borderId="26" xfId="0" applyFont="1" applyFill="1" applyBorder="1" applyAlignment="1">
      <alignment vertical="center"/>
    </xf>
    <xf numFmtId="168" fontId="2" fillId="9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8" fontId="4" fillId="0" borderId="1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168" fontId="7" fillId="0" borderId="1" xfId="1" applyNumberFormat="1" applyFont="1" applyBorder="1"/>
    <xf numFmtId="168" fontId="4" fillId="0" borderId="18" xfId="1" applyNumberFormat="1" applyFont="1" applyBorder="1" applyProtection="1">
      <protection locked="0"/>
    </xf>
    <xf numFmtId="168" fontId="7" fillId="0" borderId="1" xfId="1" applyNumberFormat="1" applyFont="1" applyBorder="1" applyProtection="1">
      <protection locked="0"/>
    </xf>
    <xf numFmtId="168" fontId="7" fillId="0" borderId="18" xfId="1" applyNumberFormat="1" applyFont="1" applyBorder="1" applyProtection="1">
      <protection locked="0"/>
    </xf>
    <xf numFmtId="3" fontId="4" fillId="0" borderId="1" xfId="0" applyNumberFormat="1" applyFont="1" applyBorder="1"/>
    <xf numFmtId="168" fontId="4" fillId="0" borderId="1" xfId="17" applyNumberFormat="1" applyFont="1" applyBorder="1" applyProtection="1">
      <protection locked="0"/>
    </xf>
    <xf numFmtId="1" fontId="7" fillId="7" borderId="1" xfId="0" applyNumberFormat="1" applyFont="1" applyFill="1" applyBorder="1"/>
    <xf numFmtId="168" fontId="7" fillId="7" borderId="1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8" fontId="7" fillId="2" borderId="1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8" fontId="4" fillId="2" borderId="1" xfId="1" applyNumberFormat="1" applyFont="1" applyFill="1" applyBorder="1" applyProtection="1">
      <protection locked="0"/>
    </xf>
    <xf numFmtId="1" fontId="7" fillId="8" borderId="4" xfId="0" applyNumberFormat="1" applyFont="1" applyFill="1" applyBorder="1" applyAlignment="1">
      <alignment horizontal="left"/>
    </xf>
    <xf numFmtId="1" fontId="7" fillId="8" borderId="24" xfId="0" applyNumberFormat="1" applyFont="1" applyFill="1" applyBorder="1"/>
    <xf numFmtId="168" fontId="7" fillId="8" borderId="20" xfId="1" applyNumberFormat="1" applyFont="1" applyFill="1" applyBorder="1"/>
    <xf numFmtId="1" fontId="7" fillId="7" borderId="1" xfId="0" applyNumberFormat="1" applyFont="1" applyFill="1" applyBorder="1" applyAlignment="1">
      <alignment horizontal="left"/>
    </xf>
    <xf numFmtId="0" fontId="4" fillId="0" borderId="17" xfId="0" applyFont="1" applyBorder="1"/>
    <xf numFmtId="0" fontId="7" fillId="0" borderId="17" xfId="0" applyFont="1" applyBorder="1"/>
    <xf numFmtId="3" fontId="6" fillId="0" borderId="33" xfId="0" applyNumberFormat="1" applyFont="1" applyBorder="1"/>
    <xf numFmtId="168" fontId="7" fillId="3" borderId="20" xfId="17" applyNumberFormat="1" applyFont="1" applyFill="1" applyBorder="1" applyAlignment="1">
      <alignment vertical="center"/>
    </xf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4" fontId="1" fillId="3" borderId="0" xfId="0" applyNumberFormat="1" applyFont="1" applyFill="1"/>
    <xf numFmtId="168" fontId="4" fillId="3" borderId="1" xfId="1" applyNumberFormat="1" applyFont="1" applyFill="1" applyBorder="1" applyProtection="1">
      <protection locked="0"/>
    </xf>
    <xf numFmtId="168" fontId="4" fillId="3" borderId="18" xfId="1" applyNumberFormat="1" applyFont="1" applyFill="1" applyBorder="1" applyProtection="1">
      <protection locked="0"/>
    </xf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68" fontId="4" fillId="0" borderId="31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35" xfId="0" applyNumberFormat="1" applyFont="1" applyBorder="1" applyAlignment="1" applyProtection="1">
      <alignment horizontal="left"/>
    </xf>
    <xf numFmtId="1" fontId="7" fillId="8" borderId="4" xfId="0" applyNumberFormat="1" applyFont="1" applyFill="1" applyBorder="1" applyProtection="1"/>
    <xf numFmtId="1" fontId="7" fillId="8" borderId="24" xfId="0" applyNumberFormat="1" applyFont="1" applyFill="1" applyBorder="1" applyProtection="1"/>
    <xf numFmtId="168" fontId="7" fillId="8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68" fontId="4" fillId="3" borderId="1" xfId="0" applyNumberFormat="1" applyFont="1" applyFill="1" applyBorder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8" fontId="7" fillId="3" borderId="0" xfId="1" applyNumberFormat="1" applyFont="1" applyFill="1" applyBorder="1"/>
    <xf numFmtId="169" fontId="4" fillId="0" borderId="32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43" fontId="4" fillId="0" borderId="17" xfId="1" applyFont="1" applyBorder="1"/>
    <xf numFmtId="43" fontId="4" fillId="3" borderId="0" xfId="1" applyFont="1" applyFill="1"/>
    <xf numFmtId="43" fontId="4" fillId="3" borderId="0" xfId="0" applyNumberFormat="1" applyFont="1" applyFill="1"/>
    <xf numFmtId="0" fontId="7" fillId="3" borderId="14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68" fontId="7" fillId="3" borderId="1" xfId="1" applyNumberFormat="1" applyFont="1" applyFill="1" applyBorder="1"/>
    <xf numFmtId="168" fontId="4" fillId="0" borderId="1" xfId="1" applyNumberFormat="1" applyFont="1" applyBorder="1"/>
    <xf numFmtId="168" fontId="4" fillId="0" borderId="18" xfId="1" applyNumberFormat="1" applyFont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68" fontId="4" fillId="3" borderId="1" xfId="1" applyNumberFormat="1" applyFont="1" applyFill="1" applyBorder="1"/>
    <xf numFmtId="1" fontId="7" fillId="11" borderId="5" xfId="0" applyNumberFormat="1" applyFont="1" applyFill="1" applyBorder="1" applyAlignment="1">
      <alignment horizontal="left"/>
    </xf>
    <xf numFmtId="0" fontId="7" fillId="11" borderId="23" xfId="0" applyFont="1" applyFill="1" applyBorder="1"/>
    <xf numFmtId="168" fontId="4" fillId="11" borderId="1" xfId="1" applyNumberFormat="1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3" fontId="3" fillId="0" borderId="33" xfId="0" applyNumberFormat="1" applyFont="1" applyBorder="1"/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3" borderId="18" xfId="0" applyFont="1" applyFill="1" applyBorder="1" applyAlignment="1">
      <alignment vertical="center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8" fontId="7" fillId="8" borderId="20" xfId="17" applyNumberFormat="1" applyFont="1" applyFill="1" applyBorder="1"/>
    <xf numFmtId="168" fontId="7" fillId="3" borderId="1" xfId="1" applyNumberFormat="1" applyFont="1" applyFill="1" applyBorder="1" applyProtection="1">
      <protection locked="0"/>
    </xf>
    <xf numFmtId="10" fontId="4" fillId="0" borderId="0" xfId="19" applyNumberFormat="1" applyFont="1"/>
    <xf numFmtId="169" fontId="7" fillId="3" borderId="1" xfId="1" applyNumberFormat="1" applyFont="1" applyFill="1" applyBorder="1"/>
    <xf numFmtId="169" fontId="4" fillId="3" borderId="1" xfId="1" applyNumberFormat="1" applyFont="1" applyFill="1" applyBorder="1"/>
    <xf numFmtId="10" fontId="7" fillId="3" borderId="8" xfId="19" applyNumberFormat="1" applyFont="1" applyFill="1" applyBorder="1"/>
    <xf numFmtId="10" fontId="4" fillId="3" borderId="8" xfId="19" applyNumberFormat="1" applyFont="1" applyFill="1" applyBorder="1"/>
    <xf numFmtId="10" fontId="7" fillId="7" borderId="8" xfId="19" applyNumberFormat="1" applyFont="1" applyFill="1" applyBorder="1"/>
    <xf numFmtId="10" fontId="7" fillId="8" borderId="36" xfId="19" applyNumberFormat="1" applyFont="1" applyFill="1" applyBorder="1"/>
    <xf numFmtId="10" fontId="4" fillId="11" borderId="37" xfId="19" applyNumberFormat="1" applyFont="1" applyFill="1" applyBorder="1"/>
    <xf numFmtId="168" fontId="4" fillId="3" borderId="38" xfId="17" applyNumberFormat="1" applyFont="1" applyFill="1" applyBorder="1" applyProtection="1">
      <protection locked="0"/>
    </xf>
    <xf numFmtId="168" fontId="7" fillId="8" borderId="39" xfId="17" applyNumberFormat="1" applyFont="1" applyFill="1" applyBorder="1" applyProtection="1">
      <protection locked="0"/>
    </xf>
    <xf numFmtId="168" fontId="4" fillId="3" borderId="31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10" fontId="7" fillId="8" borderId="20" xfId="19" applyNumberFormat="1" applyFont="1" applyFill="1" applyBorder="1"/>
    <xf numFmtId="10" fontId="4" fillId="3" borderId="34" xfId="19" applyNumberFormat="1" applyFont="1" applyFill="1" applyBorder="1"/>
    <xf numFmtId="0" fontId="7" fillId="4" borderId="42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168" fontId="4" fillId="0" borderId="1" xfId="17" applyNumberFormat="1" applyFont="1" applyFill="1" applyBorder="1" applyAlignment="1" applyProtection="1">
      <alignment vertical="center"/>
      <protection locked="0"/>
    </xf>
    <xf numFmtId="168" fontId="4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4" fillId="6" borderId="1" xfId="17" applyNumberFormat="1" applyFont="1" applyFill="1" applyBorder="1" applyAlignment="1">
      <alignment vertical="center"/>
    </xf>
    <xf numFmtId="169" fontId="4" fillId="3" borderId="1" xfId="1" applyNumberFormat="1" applyFont="1" applyFill="1" applyBorder="1" applyProtection="1">
      <protection locked="0"/>
    </xf>
    <xf numFmtId="168" fontId="4" fillId="0" borderId="18" xfId="17" applyNumberFormat="1" applyFont="1" applyBorder="1" applyProtection="1">
      <protection locked="0"/>
    </xf>
    <xf numFmtId="168" fontId="4" fillId="3" borderId="1" xfId="17" applyNumberFormat="1" applyFont="1" applyFill="1" applyBorder="1"/>
    <xf numFmtId="0" fontId="8" fillId="10" borderId="13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168" fontId="4" fillId="0" borderId="2" xfId="17" applyNumberFormat="1" applyFont="1" applyFill="1" applyBorder="1" applyAlignment="1">
      <alignment vertical="center"/>
    </xf>
    <xf numFmtId="168" fontId="4" fillId="0" borderId="1" xfId="17" applyNumberFormat="1" applyFont="1" applyFill="1" applyBorder="1" applyAlignment="1">
      <alignment horizontal="left" vertical="center" wrapText="1"/>
    </xf>
    <xf numFmtId="168" fontId="4" fillId="0" borderId="1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" fillId="3" borderId="0" xfId="0" applyFont="1" applyFill="1" applyBorder="1" applyAlignment="1">
      <alignment vertical="center"/>
    </xf>
    <xf numFmtId="168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8" fontId="4" fillId="3" borderId="8" xfId="17" applyNumberFormat="1" applyFont="1" applyFill="1" applyBorder="1"/>
    <xf numFmtId="0" fontId="4" fillId="3" borderId="36" xfId="0" applyFont="1" applyFill="1" applyBorder="1"/>
    <xf numFmtId="0" fontId="1" fillId="3" borderId="12" xfId="0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9" fontId="2" fillId="10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4" fillId="6" borderId="8" xfId="19" applyFont="1" applyFill="1" applyBorder="1" applyAlignment="1">
      <alignment horizontal="center" vertical="center"/>
    </xf>
    <xf numFmtId="9" fontId="2" fillId="9" borderId="22" xfId="19" applyFont="1" applyFill="1" applyBorder="1" applyAlignment="1">
      <alignment horizontal="center" vertical="center"/>
    </xf>
    <xf numFmtId="168" fontId="7" fillId="3" borderId="2" xfId="17" applyNumberFormat="1" applyFont="1" applyFill="1" applyBorder="1" applyAlignment="1" applyProtection="1">
      <alignment vertical="center"/>
      <protection locked="0"/>
    </xf>
    <xf numFmtId="168" fontId="7" fillId="3" borderId="2" xfId="17" applyNumberFormat="1" applyFont="1" applyFill="1" applyBorder="1" applyAlignment="1">
      <alignment vertical="center"/>
    </xf>
    <xf numFmtId="168" fontId="4" fillId="3" borderId="2" xfId="17" applyNumberFormat="1" applyFont="1" applyFill="1" applyBorder="1" applyAlignment="1" applyProtection="1">
      <alignment vertical="center"/>
      <protection locked="0"/>
    </xf>
    <xf numFmtId="168" fontId="2" fillId="10" borderId="2" xfId="17" applyNumberFormat="1" applyFont="1" applyFill="1" applyBorder="1" applyAlignment="1">
      <alignment vertical="center"/>
    </xf>
    <xf numFmtId="168" fontId="2" fillId="5" borderId="2" xfId="17" applyNumberFormat="1" applyFont="1" applyFill="1" applyBorder="1" applyAlignment="1">
      <alignment vertical="center"/>
    </xf>
    <xf numFmtId="168" fontId="7" fillId="5" borderId="2" xfId="17" applyNumberFormat="1" applyFont="1" applyFill="1" applyBorder="1" applyAlignment="1">
      <alignment vertical="center"/>
    </xf>
    <xf numFmtId="168" fontId="7" fillId="3" borderId="43" xfId="17" applyNumberFormat="1" applyFont="1" applyFill="1" applyBorder="1" applyAlignment="1">
      <alignment vertical="center"/>
    </xf>
    <xf numFmtId="168" fontId="7" fillId="3" borderId="5" xfId="17" applyNumberFormat="1" applyFont="1" applyFill="1" applyBorder="1" applyAlignment="1">
      <alignment vertical="center"/>
    </xf>
    <xf numFmtId="43" fontId="4" fillId="0" borderId="0" xfId="17" applyFont="1"/>
    <xf numFmtId="167" fontId="4" fillId="0" borderId="0" xfId="17" applyNumberFormat="1" applyFont="1"/>
    <xf numFmtId="168" fontId="4" fillId="11" borderId="1" xfId="17" applyNumberFormat="1" applyFont="1" applyFill="1" applyBorder="1"/>
    <xf numFmtId="10" fontId="4" fillId="11" borderId="37" xfId="21" applyNumberFormat="1" applyFont="1" applyFill="1" applyBorder="1"/>
    <xf numFmtId="168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8" fontId="4" fillId="0" borderId="0" xfId="21" applyNumberFormat="1" applyFont="1"/>
    <xf numFmtId="168" fontId="4" fillId="0" borderId="1" xfId="17" applyNumberFormat="1" applyFont="1" applyBorder="1"/>
    <xf numFmtId="168" fontId="7" fillId="0" borderId="1" xfId="17" applyNumberFormat="1" applyFont="1" applyBorder="1"/>
    <xf numFmtId="168" fontId="4" fillId="3" borderId="18" xfId="17" applyNumberFormat="1" applyFont="1" applyFill="1" applyBorder="1" applyProtection="1">
      <protection locked="0"/>
    </xf>
    <xf numFmtId="168" fontId="4" fillId="0" borderId="18" xfId="17" applyNumberFormat="1" applyFont="1" applyBorder="1"/>
    <xf numFmtId="167" fontId="7" fillId="0" borderId="0" xfId="17" applyNumberFormat="1" applyFont="1"/>
    <xf numFmtId="43" fontId="7" fillId="0" borderId="0" xfId="17" applyFont="1"/>
    <xf numFmtId="168" fontId="7" fillId="3" borderId="1" xfId="17" applyNumberFormat="1" applyFont="1" applyFill="1" applyBorder="1" applyProtection="1">
      <protection locked="0"/>
    </xf>
    <xf numFmtId="169" fontId="7" fillId="3" borderId="1" xfId="17" applyNumberFormat="1" applyFont="1" applyFill="1" applyBorder="1"/>
    <xf numFmtId="168" fontId="7" fillId="7" borderId="1" xfId="17" applyNumberFormat="1" applyFont="1" applyFill="1" applyBorder="1"/>
    <xf numFmtId="10" fontId="7" fillId="7" borderId="8" xfId="21" applyNumberFormat="1" applyFont="1" applyFill="1" applyBorder="1"/>
    <xf numFmtId="168" fontId="7" fillId="2" borderId="1" xfId="17" applyNumberFormat="1" applyFont="1" applyFill="1" applyBorder="1" applyProtection="1">
      <protection locked="0"/>
    </xf>
    <xf numFmtId="168" fontId="4" fillId="2" borderId="1" xfId="17" applyNumberFormat="1" applyFont="1" applyFill="1" applyBorder="1" applyProtection="1">
      <protection locked="0"/>
    </xf>
    <xf numFmtId="168" fontId="7" fillId="3" borderId="20" xfId="17" applyNumberFormat="1" applyFont="1" applyFill="1" applyBorder="1"/>
    <xf numFmtId="10" fontId="7" fillId="8" borderId="36" xfId="21" applyNumberFormat="1" applyFont="1" applyFill="1" applyBorder="1"/>
    <xf numFmtId="43" fontId="4" fillId="0" borderId="17" xfId="17" applyFont="1" applyBorder="1"/>
    <xf numFmtId="168" fontId="7" fillId="3" borderId="0" xfId="17" applyNumberFormat="1" applyFont="1" applyFill="1" applyBorder="1"/>
    <xf numFmtId="0" fontId="8" fillId="10" borderId="9" xfId="0" applyFont="1" applyFill="1" applyBorder="1" applyAlignment="1">
      <alignment horizontal="center" vertical="center" wrapText="1"/>
    </xf>
    <xf numFmtId="0" fontId="8" fillId="10" borderId="44" xfId="0" applyFont="1" applyFill="1" applyBorder="1" applyAlignment="1">
      <alignment vertical="center"/>
    </xf>
    <xf numFmtId="0" fontId="8" fillId="10" borderId="11" xfId="0" applyFont="1" applyFill="1" applyBorder="1" applyAlignment="1">
      <alignment horizontal="center" vertical="center" wrapText="1"/>
    </xf>
    <xf numFmtId="168" fontId="4" fillId="3" borderId="45" xfId="17" applyNumberFormat="1" applyFont="1" applyFill="1" applyBorder="1" applyAlignment="1">
      <alignment vertical="center"/>
    </xf>
    <xf numFmtId="168" fontId="4" fillId="3" borderId="46" xfId="17" applyNumberFormat="1" applyFont="1" applyFill="1" applyBorder="1" applyAlignment="1">
      <alignment horizontal="left" vertical="center" wrapText="1"/>
    </xf>
    <xf numFmtId="168" fontId="4" fillId="3" borderId="46" xfId="17" applyNumberFormat="1" applyFont="1" applyFill="1" applyBorder="1" applyAlignment="1">
      <alignment vertical="center"/>
    </xf>
    <xf numFmtId="168" fontId="4" fillId="3" borderId="46" xfId="17" applyNumberFormat="1" applyFont="1" applyFill="1" applyBorder="1" applyAlignment="1">
      <alignment vertical="center" wrapText="1"/>
    </xf>
    <xf numFmtId="168" fontId="4" fillId="3" borderId="31" xfId="17" applyNumberFormat="1" applyFont="1" applyFill="1" applyBorder="1" applyAlignment="1">
      <alignment vertical="center" wrapText="1"/>
    </xf>
    <xf numFmtId="168" fontId="4" fillId="3" borderId="35" xfId="17" applyNumberFormat="1" applyFont="1" applyFill="1" applyBorder="1" applyAlignment="1">
      <alignment vertical="center"/>
    </xf>
    <xf numFmtId="168" fontId="4" fillId="3" borderId="31" xfId="17" applyNumberFormat="1" applyFont="1" applyFill="1" applyBorder="1" applyAlignment="1">
      <alignment horizontal="left" vertical="center" wrapText="1"/>
    </xf>
    <xf numFmtId="168" fontId="4" fillId="3" borderId="31" xfId="17" applyNumberFormat="1" applyFont="1" applyFill="1" applyBorder="1" applyAlignment="1">
      <alignment vertical="center"/>
    </xf>
    <xf numFmtId="167" fontId="13" fillId="0" borderId="0" xfId="17" applyNumberFormat="1" applyFont="1"/>
    <xf numFmtId="169" fontId="4" fillId="3" borderId="1" xfId="17" applyNumberFormat="1" applyFont="1" applyFill="1" applyBorder="1" applyProtection="1">
      <protection locked="0"/>
    </xf>
    <xf numFmtId="10" fontId="4" fillId="3" borderId="37" xfId="21" applyNumberFormat="1" applyFont="1" applyFill="1" applyBorder="1"/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1" fontId="12" fillId="8" borderId="40" xfId="0" applyNumberFormat="1" applyFont="1" applyFill="1" applyBorder="1" applyAlignment="1" applyProtection="1">
      <alignment horizontal="center" vertical="top" wrapText="1"/>
    </xf>
    <xf numFmtId="1" fontId="12" fillId="8" borderId="32" xfId="0" applyNumberFormat="1" applyFont="1" applyFill="1" applyBorder="1" applyAlignment="1" applyProtection="1">
      <alignment horizontal="center" vertical="top" wrapText="1"/>
    </xf>
    <xf numFmtId="1" fontId="12" fillId="8" borderId="41" xfId="0" applyNumberFormat="1" applyFont="1" applyFill="1" applyBorder="1" applyAlignment="1" applyProtection="1">
      <alignment horizontal="center" vertical="top" wrapText="1"/>
    </xf>
    <xf numFmtId="0" fontId="8" fillId="10" borderId="9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6"/>
  <sheetViews>
    <sheetView topLeftCell="B18" zoomScaleNormal="100" workbookViewId="0">
      <selection activeCell="H33" sqref="H33"/>
    </sheetView>
  </sheetViews>
  <sheetFormatPr baseColWidth="10" defaultColWidth="11.42578125" defaultRowHeight="12" x14ac:dyDescent="0.2"/>
  <cols>
    <col min="1" max="1" width="10.5703125" style="1" customWidth="1"/>
    <col min="2" max="2" width="19.140625" style="17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4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2" customWidth="1"/>
    <col min="15" max="15" width="15.28515625" style="24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24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 x14ac:dyDescent="0.25">
      <c r="B1" s="240" t="s">
        <v>21</v>
      </c>
      <c r="C1" s="241"/>
      <c r="D1" s="241"/>
      <c r="E1" s="241"/>
      <c r="F1" s="241"/>
      <c r="G1" s="241"/>
      <c r="H1" s="241"/>
      <c r="I1" s="242"/>
    </row>
    <row r="2" spans="1:36" x14ac:dyDescent="0.2">
      <c r="B2" s="243" t="s">
        <v>22</v>
      </c>
      <c r="C2" s="244"/>
      <c r="D2" s="244"/>
      <c r="E2" s="244"/>
      <c r="F2" s="244"/>
      <c r="G2" s="244"/>
      <c r="H2" s="244"/>
      <c r="I2" s="245"/>
      <c r="J2" s="13"/>
      <c r="K2" s="13"/>
      <c r="L2" s="13"/>
    </row>
    <row r="3" spans="1:36" x14ac:dyDescent="0.2">
      <c r="B3" s="246" t="s">
        <v>13</v>
      </c>
      <c r="C3" s="247"/>
      <c r="D3" s="247"/>
      <c r="E3" s="247"/>
      <c r="F3" s="247"/>
      <c r="G3" s="247"/>
      <c r="H3" s="247"/>
      <c r="I3" s="248"/>
      <c r="J3" s="13"/>
      <c r="K3" s="13"/>
      <c r="L3" s="13"/>
    </row>
    <row r="4" spans="1:36" x14ac:dyDescent="0.2">
      <c r="B4" s="246" t="s">
        <v>91</v>
      </c>
      <c r="C4" s="247"/>
      <c r="D4" s="247"/>
      <c r="E4" s="247"/>
      <c r="F4" s="247"/>
      <c r="G4" s="247"/>
      <c r="H4" s="247"/>
      <c r="I4" s="248"/>
      <c r="J4" s="13"/>
      <c r="K4" s="13"/>
      <c r="L4" s="13"/>
    </row>
    <row r="5" spans="1:36" ht="12.75" thickBot="1" x14ac:dyDescent="0.25">
      <c r="B5" s="249" t="s">
        <v>105</v>
      </c>
      <c r="C5" s="250"/>
      <c r="D5" s="250"/>
      <c r="E5" s="250"/>
      <c r="F5" s="250"/>
      <c r="G5" s="250"/>
      <c r="H5" s="250"/>
      <c r="I5" s="251"/>
    </row>
    <row r="6" spans="1:36" ht="49.9" customHeight="1" thickBot="1" x14ac:dyDescent="0.25">
      <c r="B6" s="30"/>
      <c r="C6" s="56" t="s">
        <v>0</v>
      </c>
      <c r="D6" s="56" t="s">
        <v>23</v>
      </c>
      <c r="E6" s="56" t="s">
        <v>89</v>
      </c>
      <c r="F6" s="56" t="s">
        <v>90</v>
      </c>
      <c r="G6" s="56" t="s">
        <v>24</v>
      </c>
      <c r="H6" s="57" t="s">
        <v>138</v>
      </c>
      <c r="I6" s="57" t="s">
        <v>269</v>
      </c>
    </row>
    <row r="7" spans="1:36" ht="16.5" customHeight="1" x14ac:dyDescent="0.2">
      <c r="B7" s="128">
        <v>1</v>
      </c>
      <c r="C7" s="129" t="s">
        <v>140</v>
      </c>
      <c r="D7" s="130">
        <f>+D8+D62</f>
        <v>49475995389</v>
      </c>
      <c r="E7" s="130">
        <f>+E8+E62</f>
        <v>2550405135</v>
      </c>
      <c r="F7" s="130">
        <f>+F8+F62</f>
        <v>0</v>
      </c>
      <c r="G7" s="130">
        <f>+G8+G62</f>
        <v>52026400524</v>
      </c>
      <c r="H7" s="130">
        <f>+H8+H62</f>
        <v>22489286735.889999</v>
      </c>
      <c r="I7" s="155">
        <f>+H7/G7</f>
        <v>0.43226682048694864</v>
      </c>
      <c r="J7" s="148"/>
      <c r="T7" s="14"/>
      <c r="AH7" s="82"/>
      <c r="AI7" s="14"/>
    </row>
    <row r="8" spans="1:36" ht="16.5" customHeight="1" x14ac:dyDescent="0.2">
      <c r="B8" s="120" t="s">
        <v>141</v>
      </c>
      <c r="C8" s="121" t="s">
        <v>142</v>
      </c>
      <c r="D8" s="122">
        <f>+D9+D21</f>
        <v>48967528819</v>
      </c>
      <c r="E8" s="122">
        <f>+E9+E21</f>
        <v>2550405135</v>
      </c>
      <c r="F8" s="122">
        <f>+F9+F21</f>
        <v>0</v>
      </c>
      <c r="G8" s="122">
        <f>+G9+G21</f>
        <v>51517933954</v>
      </c>
      <c r="H8" s="122">
        <f>+H9+H21</f>
        <v>22187081753.889999</v>
      </c>
      <c r="I8" s="151">
        <f>+H8/G8</f>
        <v>0.4306671493018468</v>
      </c>
      <c r="J8" s="148"/>
      <c r="AH8" s="82"/>
    </row>
    <row r="9" spans="1:36" ht="16.5" customHeight="1" x14ac:dyDescent="0.2">
      <c r="B9" s="125" t="s">
        <v>143</v>
      </c>
      <c r="C9" s="126" t="s">
        <v>144</v>
      </c>
      <c r="D9" s="127">
        <f t="shared" ref="D9:H10" si="0">+D10</f>
        <v>24653429899</v>
      </c>
      <c r="E9" s="127">
        <f t="shared" si="0"/>
        <v>50405135</v>
      </c>
      <c r="F9" s="127">
        <f t="shared" si="0"/>
        <v>0</v>
      </c>
      <c r="G9" s="127">
        <f t="shared" si="0"/>
        <v>24703835034</v>
      </c>
      <c r="H9" s="127">
        <f t="shared" si="0"/>
        <v>12962738960</v>
      </c>
      <c r="I9" s="152">
        <f t="shared" ref="I9:I20" si="1">+H9/G9</f>
        <v>0.52472577404112863</v>
      </c>
      <c r="J9" s="148"/>
      <c r="AH9" s="133"/>
      <c r="AI9" s="14"/>
    </row>
    <row r="10" spans="1:36" ht="16.5" customHeight="1" x14ac:dyDescent="0.2">
      <c r="B10" s="61" t="s">
        <v>145</v>
      </c>
      <c r="C10" s="59" t="s">
        <v>146</v>
      </c>
      <c r="D10" s="127">
        <f t="shared" si="0"/>
        <v>24653429899</v>
      </c>
      <c r="E10" s="127">
        <f t="shared" si="0"/>
        <v>50405135</v>
      </c>
      <c r="F10" s="127">
        <f t="shared" si="0"/>
        <v>0</v>
      </c>
      <c r="G10" s="127">
        <f t="shared" si="0"/>
        <v>24703835034</v>
      </c>
      <c r="H10" s="127">
        <f t="shared" si="0"/>
        <v>12962738960</v>
      </c>
      <c r="I10" s="152">
        <f t="shared" si="1"/>
        <v>0.52472577404112863</v>
      </c>
      <c r="J10" s="148"/>
      <c r="L10" s="15"/>
      <c r="AF10" s="24">
        <f t="shared" ref="AF10:AF23" si="2">+G10-I10</f>
        <v>24703835033.475273</v>
      </c>
      <c r="AG10" s="1">
        <v>5879292</v>
      </c>
      <c r="AH10" s="134"/>
      <c r="AI10" s="104"/>
      <c r="AJ10" s="15"/>
    </row>
    <row r="11" spans="1:36" ht="16.5" customHeight="1" x14ac:dyDescent="0.2">
      <c r="B11" s="61" t="s">
        <v>147</v>
      </c>
      <c r="C11" s="59" t="s">
        <v>148</v>
      </c>
      <c r="D11" s="127">
        <f>+D12+D17</f>
        <v>24653429899</v>
      </c>
      <c r="E11" s="127">
        <f>+E12+E17</f>
        <v>50405135</v>
      </c>
      <c r="F11" s="127">
        <f>+F12+F17</f>
        <v>0</v>
      </c>
      <c r="G11" s="127">
        <f>+G12+G17</f>
        <v>24703835034</v>
      </c>
      <c r="H11" s="127">
        <f>+H12+H17</f>
        <v>12962738960</v>
      </c>
      <c r="I11" s="152">
        <f t="shared" si="1"/>
        <v>0.52472577404112863</v>
      </c>
      <c r="J11" s="148"/>
      <c r="AF11" s="24">
        <f t="shared" si="2"/>
        <v>24703835033.475273</v>
      </c>
      <c r="AH11" s="83"/>
    </row>
    <row r="12" spans="1:36" ht="16.5" customHeight="1" x14ac:dyDescent="0.2">
      <c r="B12" s="120" t="s">
        <v>149</v>
      </c>
      <c r="C12" s="121" t="s">
        <v>150</v>
      </c>
      <c r="D12" s="122">
        <f>SUM(D13:D16)</f>
        <v>22390107673</v>
      </c>
      <c r="E12" s="122">
        <f>SUM(E13:E16)</f>
        <v>50405135</v>
      </c>
      <c r="F12" s="122">
        <f>SUM(F13:F16)</f>
        <v>0</v>
      </c>
      <c r="G12" s="122">
        <f>SUM(G13:G16)</f>
        <v>22440512808</v>
      </c>
      <c r="H12" s="122">
        <f>SUM(H13:H16)</f>
        <v>12954875360</v>
      </c>
      <c r="I12" s="151">
        <f t="shared" si="1"/>
        <v>0.57729854352444265</v>
      </c>
      <c r="J12" s="148"/>
      <c r="AF12" s="24">
        <f>+G12-I12</f>
        <v>22440512807.422703</v>
      </c>
      <c r="AH12" s="134"/>
      <c r="AI12" s="15"/>
    </row>
    <row r="13" spans="1:36" ht="16.5" customHeight="1" x14ac:dyDescent="0.2">
      <c r="A13" s="144"/>
      <c r="B13" s="143" t="s">
        <v>206</v>
      </c>
      <c r="C13" s="137" t="s">
        <v>207</v>
      </c>
      <c r="D13" s="127">
        <v>20236148826</v>
      </c>
      <c r="E13" s="127"/>
      <c r="F13" s="127"/>
      <c r="G13" s="127">
        <f t="shared" ref="G13:G20" si="3">+D13+E13-F13</f>
        <v>20236148826</v>
      </c>
      <c r="H13" s="127">
        <v>11402597917</v>
      </c>
      <c r="I13" s="152">
        <f t="shared" si="1"/>
        <v>0.56347667805000556</v>
      </c>
      <c r="J13" s="148"/>
      <c r="AH13" s="134"/>
      <c r="AI13" s="15"/>
    </row>
    <row r="14" spans="1:36" ht="16.5" customHeight="1" x14ac:dyDescent="0.2">
      <c r="A14" s="144"/>
      <c r="B14" s="143" t="s">
        <v>208</v>
      </c>
      <c r="C14" s="137" t="s">
        <v>209</v>
      </c>
      <c r="D14" s="127">
        <v>2101306423</v>
      </c>
      <c r="E14" s="127">
        <v>50405135</v>
      </c>
      <c r="F14" s="127"/>
      <c r="G14" s="127">
        <f t="shared" si="3"/>
        <v>2151711558</v>
      </c>
      <c r="H14" s="127">
        <f>1350765770+113864987+50405135</f>
        <v>1515035892</v>
      </c>
      <c r="I14" s="152">
        <f t="shared" si="1"/>
        <v>0.70410733556137728</v>
      </c>
      <c r="J14" s="148"/>
      <c r="AH14" s="134"/>
      <c r="AI14" s="15"/>
    </row>
    <row r="15" spans="1:36" ht="16.5" customHeight="1" x14ac:dyDescent="0.2">
      <c r="A15" s="144"/>
      <c r="B15" s="143" t="s">
        <v>210</v>
      </c>
      <c r="C15" s="45" t="s">
        <v>211</v>
      </c>
      <c r="D15" s="127">
        <v>25276212</v>
      </c>
      <c r="E15" s="127"/>
      <c r="F15" s="127"/>
      <c r="G15" s="127">
        <f t="shared" si="3"/>
        <v>25276212</v>
      </c>
      <c r="H15" s="127">
        <v>16542598</v>
      </c>
      <c r="I15" s="152">
        <f t="shared" si="1"/>
        <v>0.65447298827846512</v>
      </c>
      <c r="J15" s="148"/>
      <c r="AH15" s="134"/>
      <c r="AI15" s="15"/>
    </row>
    <row r="16" spans="1:36" ht="16.5" customHeight="1" x14ac:dyDescent="0.2">
      <c r="A16" s="144"/>
      <c r="B16" s="143" t="s">
        <v>212</v>
      </c>
      <c r="C16" s="45" t="s">
        <v>213</v>
      </c>
      <c r="D16" s="127">
        <v>27376212</v>
      </c>
      <c r="E16" s="127"/>
      <c r="F16" s="127"/>
      <c r="G16" s="127">
        <f t="shared" si="3"/>
        <v>27376212</v>
      </c>
      <c r="H16" s="127">
        <v>20698953</v>
      </c>
      <c r="I16" s="152">
        <f t="shared" si="1"/>
        <v>0.75609266176050949</v>
      </c>
      <c r="J16" s="148"/>
      <c r="AH16" s="134"/>
      <c r="AI16" s="15"/>
    </row>
    <row r="17" spans="1:35" ht="16.5" customHeight="1" x14ac:dyDescent="0.2">
      <c r="B17" s="58" t="s">
        <v>151</v>
      </c>
      <c r="C17" s="63" t="s">
        <v>152</v>
      </c>
      <c r="D17" s="122">
        <f>SUM(D18:D20)</f>
        <v>2263322226</v>
      </c>
      <c r="E17" s="122"/>
      <c r="F17" s="122"/>
      <c r="G17" s="122">
        <f>SUM(G18:G20)</f>
        <v>2263322226</v>
      </c>
      <c r="H17" s="122">
        <f>SUM(H18:H20)</f>
        <v>7863600</v>
      </c>
      <c r="I17" s="151">
        <f t="shared" si="1"/>
        <v>3.4743616749160133E-3</v>
      </c>
      <c r="J17" s="148"/>
      <c r="AF17" s="24">
        <f>+G17-I17</f>
        <v>2263322225.9965258</v>
      </c>
      <c r="AH17" s="135"/>
      <c r="AI17" s="14"/>
    </row>
    <row r="18" spans="1:35" ht="16.5" customHeight="1" x14ac:dyDescent="0.2">
      <c r="A18" s="144"/>
      <c r="B18" s="143" t="s">
        <v>214</v>
      </c>
      <c r="C18" s="137" t="s">
        <v>215</v>
      </c>
      <c r="D18" s="127">
        <v>2263322226</v>
      </c>
      <c r="E18" s="123"/>
      <c r="F18" s="123"/>
      <c r="G18" s="127">
        <f t="shared" si="3"/>
        <v>2263322226</v>
      </c>
      <c r="H18" s="64">
        <v>7863600</v>
      </c>
      <c r="I18" s="151">
        <f t="shared" si="1"/>
        <v>3.4743616749160133E-3</v>
      </c>
      <c r="J18" s="148"/>
      <c r="AH18" s="135"/>
      <c r="AI18" s="14"/>
    </row>
    <row r="19" spans="1:35" ht="16.5" customHeight="1" x14ac:dyDescent="0.2">
      <c r="A19" s="144"/>
      <c r="B19" s="143" t="s">
        <v>216</v>
      </c>
      <c r="C19" s="137" t="s">
        <v>217</v>
      </c>
      <c r="D19" s="127">
        <v>0</v>
      </c>
      <c r="E19" s="123"/>
      <c r="F19" s="123"/>
      <c r="G19" s="127">
        <f t="shared" si="3"/>
        <v>0</v>
      </c>
      <c r="H19" s="64"/>
      <c r="I19" s="151" t="e">
        <f t="shared" si="1"/>
        <v>#DIV/0!</v>
      </c>
      <c r="J19" s="148"/>
      <c r="AH19" s="135"/>
      <c r="AI19" s="14"/>
    </row>
    <row r="20" spans="1:35" ht="16.5" customHeight="1" x14ac:dyDescent="0.2">
      <c r="A20" s="144"/>
      <c r="B20" s="143" t="s">
        <v>218</v>
      </c>
      <c r="C20" s="137" t="s">
        <v>219</v>
      </c>
      <c r="D20" s="127">
        <v>0</v>
      </c>
      <c r="E20" s="123"/>
      <c r="F20" s="123"/>
      <c r="G20" s="127">
        <f t="shared" si="3"/>
        <v>0</v>
      </c>
      <c r="H20" s="64"/>
      <c r="I20" s="151" t="e">
        <f t="shared" si="1"/>
        <v>#DIV/0!</v>
      </c>
      <c r="J20" s="148"/>
      <c r="AH20" s="135"/>
      <c r="AI20" s="14"/>
    </row>
    <row r="21" spans="1:35" ht="16.5" customHeight="1" x14ac:dyDescent="0.2">
      <c r="B21" s="61" t="s">
        <v>153</v>
      </c>
      <c r="C21" s="59" t="s">
        <v>154</v>
      </c>
      <c r="D21" s="69">
        <f>+D22+D26+D48+D51</f>
        <v>24314098920</v>
      </c>
      <c r="E21" s="69">
        <f t="shared" ref="E21:F21" si="4">+E22+E26+E48+E51</f>
        <v>2500000000</v>
      </c>
      <c r="F21" s="69">
        <f t="shared" si="4"/>
        <v>0</v>
      </c>
      <c r="G21" s="92">
        <f>+E21+D21</f>
        <v>26814098920</v>
      </c>
      <c r="H21" s="69">
        <f>+H22+H26+H48+H51</f>
        <v>9224342793.8899994</v>
      </c>
      <c r="I21" s="151">
        <f>+H21/G21</f>
        <v>0.34401091833855291</v>
      </c>
      <c r="J21" s="148"/>
      <c r="AF21" s="24" t="e">
        <f>+G21-#REF!</f>
        <v>#REF!</v>
      </c>
      <c r="AH21" s="136"/>
      <c r="AI21" s="14"/>
    </row>
    <row r="22" spans="1:35" ht="16.5" customHeight="1" x14ac:dyDescent="0.2">
      <c r="B22" s="61" t="s">
        <v>155</v>
      </c>
      <c r="C22" s="59" t="s">
        <v>129</v>
      </c>
      <c r="D22" s="123">
        <f>+D23</f>
        <v>648435007</v>
      </c>
      <c r="E22" s="123">
        <f>+E23</f>
        <v>0</v>
      </c>
      <c r="F22" s="123">
        <f>+F23</f>
        <v>0</v>
      </c>
      <c r="G22" s="124">
        <f>+G23</f>
        <v>648435007</v>
      </c>
      <c r="H22" s="127">
        <f>+H23</f>
        <v>339698855</v>
      </c>
      <c r="I22" s="152">
        <f t="shared" ref="I22:I73" si="5">+H22/G22</f>
        <v>0.52387494711555571</v>
      </c>
      <c r="J22" s="148"/>
      <c r="AF22" s="24">
        <f t="shared" si="2"/>
        <v>648435006.476125</v>
      </c>
      <c r="AH22" s="82"/>
      <c r="AI22" s="14"/>
    </row>
    <row r="23" spans="1:35" s="2" customFormat="1" ht="16.5" customHeight="1" x14ac:dyDescent="0.2">
      <c r="B23" s="61" t="s">
        <v>156</v>
      </c>
      <c r="C23" s="59" t="s">
        <v>157</v>
      </c>
      <c r="D23" s="60">
        <f t="shared" ref="D23:F24" si="6">+D24</f>
        <v>648435007</v>
      </c>
      <c r="E23" s="60">
        <f t="shared" si="6"/>
        <v>0</v>
      </c>
      <c r="F23" s="60">
        <f t="shared" si="6"/>
        <v>0</v>
      </c>
      <c r="G23" s="65">
        <f>+G24</f>
        <v>648435007</v>
      </c>
      <c r="H23" s="60">
        <f>+H24</f>
        <v>339698855</v>
      </c>
      <c r="I23" s="152">
        <f t="shared" si="5"/>
        <v>0.52387494711555571</v>
      </c>
      <c r="J23" s="148"/>
      <c r="N23" s="16"/>
      <c r="O23" s="25"/>
      <c r="AF23" s="24">
        <f t="shared" si="2"/>
        <v>648435006.476125</v>
      </c>
      <c r="AH23" s="132"/>
    </row>
    <row r="24" spans="1:35" ht="16.5" customHeight="1" x14ac:dyDescent="0.2">
      <c r="B24" s="61" t="s">
        <v>158</v>
      </c>
      <c r="C24" s="84" t="s">
        <v>159</v>
      </c>
      <c r="D24" s="69">
        <f t="shared" si="6"/>
        <v>648435007</v>
      </c>
      <c r="E24" s="69">
        <f t="shared" si="6"/>
        <v>0</v>
      </c>
      <c r="F24" s="69">
        <f t="shared" si="6"/>
        <v>0</v>
      </c>
      <c r="G24" s="92">
        <f>+E24+D24</f>
        <v>648435007</v>
      </c>
      <c r="H24" s="96">
        <f>+H25</f>
        <v>339698855</v>
      </c>
      <c r="I24" s="152">
        <f t="shared" si="5"/>
        <v>0.52387494711555571</v>
      </c>
      <c r="J24" s="148"/>
      <c r="AH24" s="82"/>
    </row>
    <row r="25" spans="1:35" ht="16.5" customHeight="1" x14ac:dyDescent="0.2">
      <c r="B25" s="58" t="s">
        <v>160</v>
      </c>
      <c r="C25" s="138" t="s">
        <v>161</v>
      </c>
      <c r="D25" s="139">
        <v>648435007</v>
      </c>
      <c r="E25" s="139"/>
      <c r="F25" s="140">
        <v>0</v>
      </c>
      <c r="G25" s="122">
        <f>+D25+E25-F25</f>
        <v>648435007</v>
      </c>
      <c r="H25" s="147">
        <v>339698855</v>
      </c>
      <c r="I25" s="151">
        <f t="shared" si="5"/>
        <v>0.52387494711555571</v>
      </c>
      <c r="J25" s="148"/>
      <c r="AH25" s="82"/>
    </row>
    <row r="26" spans="1:35" ht="16.5" customHeight="1" x14ac:dyDescent="0.2">
      <c r="B26" s="110" t="s">
        <v>162</v>
      </c>
      <c r="C26" s="84" t="s">
        <v>163</v>
      </c>
      <c r="D26" s="96">
        <f>+D27+D28+D32+D37+D42+D45</f>
        <v>23034833612</v>
      </c>
      <c r="E26" s="96">
        <f t="shared" ref="E26:G26" si="7">+E27+E28+E32+E37+E42+E45</f>
        <v>0</v>
      </c>
      <c r="F26" s="96">
        <f t="shared" si="7"/>
        <v>0</v>
      </c>
      <c r="G26" s="96">
        <f t="shared" si="7"/>
        <v>23034833612</v>
      </c>
      <c r="H26" s="96">
        <f>+H27+H28+H32+H37+H42+H45</f>
        <v>7517641835.8900003</v>
      </c>
      <c r="I26" s="152">
        <f t="shared" si="5"/>
        <v>0.3263597194803996</v>
      </c>
      <c r="J26" s="148"/>
      <c r="AH26" s="82"/>
    </row>
    <row r="27" spans="1:35" ht="16.5" customHeight="1" x14ac:dyDescent="0.2">
      <c r="B27" s="58" t="s">
        <v>164</v>
      </c>
      <c r="C27" s="63" t="s">
        <v>165</v>
      </c>
      <c r="D27" s="64">
        <v>543450399</v>
      </c>
      <c r="E27" s="64"/>
      <c r="F27" s="64"/>
      <c r="G27" s="122">
        <f t="shared" ref="G27:G47" si="8">+D27+E27-F27</f>
        <v>543450399</v>
      </c>
      <c r="H27" s="122">
        <v>434044290</v>
      </c>
      <c r="I27" s="151">
        <f t="shared" si="5"/>
        <v>0.79868243872611455</v>
      </c>
      <c r="J27" s="148"/>
      <c r="AF27" s="24">
        <f t="shared" ref="AF27:AF66" si="9">+G27-I27</f>
        <v>543450398.20131755</v>
      </c>
      <c r="AH27" s="14"/>
      <c r="AI27" s="14"/>
    </row>
    <row r="28" spans="1:35" ht="16.5" customHeight="1" x14ac:dyDescent="0.2">
      <c r="B28" s="58" t="s">
        <v>166</v>
      </c>
      <c r="C28" s="63" t="s">
        <v>167</v>
      </c>
      <c r="D28" s="66">
        <f>SUM(D29:D31)</f>
        <v>58233245</v>
      </c>
      <c r="E28" s="66">
        <f t="shared" ref="E28:G28" si="10">SUM(E29:E31)</f>
        <v>0</v>
      </c>
      <c r="F28" s="66">
        <f t="shared" si="10"/>
        <v>0</v>
      </c>
      <c r="G28" s="66">
        <f t="shared" si="10"/>
        <v>58233245</v>
      </c>
      <c r="H28" s="66">
        <f t="shared" ref="H28" si="11">SUM(H29:H31)</f>
        <v>15600843</v>
      </c>
      <c r="I28" s="151">
        <f t="shared" si="5"/>
        <v>0.26790269029314784</v>
      </c>
      <c r="J28" s="148"/>
      <c r="AF28" s="24">
        <f t="shared" si="9"/>
        <v>58233244.732097313</v>
      </c>
      <c r="AH28" s="83"/>
    </row>
    <row r="29" spans="1:35" ht="16.5" customHeight="1" x14ac:dyDescent="0.2">
      <c r="B29" s="61" t="s">
        <v>220</v>
      </c>
      <c r="C29" s="59" t="s">
        <v>221</v>
      </c>
      <c r="D29" s="60">
        <v>33294148</v>
      </c>
      <c r="E29" s="60"/>
      <c r="F29" s="65"/>
      <c r="G29" s="127">
        <f t="shared" si="8"/>
        <v>33294148</v>
      </c>
      <c r="H29" s="127">
        <v>7506537</v>
      </c>
      <c r="I29" s="152">
        <f t="shared" si="5"/>
        <v>0.22546115311315371</v>
      </c>
      <c r="J29" s="148"/>
      <c r="AH29" s="2"/>
    </row>
    <row r="30" spans="1:35" ht="16.5" customHeight="1" x14ac:dyDescent="0.2">
      <c r="B30" s="61" t="s">
        <v>222</v>
      </c>
      <c r="C30" s="59" t="s">
        <v>223</v>
      </c>
      <c r="D30" s="60">
        <v>23939097</v>
      </c>
      <c r="E30" s="60"/>
      <c r="F30" s="65"/>
      <c r="G30" s="127">
        <f t="shared" si="8"/>
        <v>23939097</v>
      </c>
      <c r="H30" s="127">
        <v>7518120</v>
      </c>
      <c r="I30" s="152">
        <f t="shared" si="5"/>
        <v>0.31405194606964498</v>
      </c>
      <c r="J30" s="148"/>
      <c r="AH30" s="2"/>
    </row>
    <row r="31" spans="1:35" ht="16.5" customHeight="1" x14ac:dyDescent="0.2">
      <c r="B31" s="61" t="s">
        <v>224</v>
      </c>
      <c r="C31" s="59" t="s">
        <v>225</v>
      </c>
      <c r="D31" s="60">
        <v>1000000</v>
      </c>
      <c r="E31" s="60"/>
      <c r="F31" s="65"/>
      <c r="G31" s="127">
        <f t="shared" si="8"/>
        <v>1000000</v>
      </c>
      <c r="H31" s="127">
        <v>576186</v>
      </c>
      <c r="I31" s="152">
        <f t="shared" si="5"/>
        <v>0.57618599999999998</v>
      </c>
      <c r="J31" s="148"/>
      <c r="AH31" s="2"/>
    </row>
    <row r="32" spans="1:35" ht="16.5" customHeight="1" x14ac:dyDescent="0.2">
      <c r="B32" s="58" t="s">
        <v>168</v>
      </c>
      <c r="C32" s="63" t="s">
        <v>169</v>
      </c>
      <c r="D32" s="66">
        <f>SUM(D33:D36)</f>
        <v>2509588858</v>
      </c>
      <c r="E32" s="66">
        <f t="shared" ref="E32:G32" si="12">SUM(E33:E36)</f>
        <v>0</v>
      </c>
      <c r="F32" s="66">
        <f t="shared" si="12"/>
        <v>0</v>
      </c>
      <c r="G32" s="66">
        <f t="shared" si="12"/>
        <v>2509588858</v>
      </c>
      <c r="H32" s="66">
        <f>SUM(H33:H36)</f>
        <v>663160898.8900001</v>
      </c>
      <c r="I32" s="151">
        <f t="shared" si="5"/>
        <v>0.26425081414272045</v>
      </c>
      <c r="J32" s="148"/>
      <c r="AF32" s="24">
        <f t="shared" si="9"/>
        <v>2509588857.7357492</v>
      </c>
      <c r="AH32" s="83"/>
    </row>
    <row r="33" spans="2:35" ht="16.5" customHeight="1" x14ac:dyDescent="0.2">
      <c r="B33" s="61" t="s">
        <v>226</v>
      </c>
      <c r="C33" s="59" t="s">
        <v>227</v>
      </c>
      <c r="D33" s="60">
        <v>1546924400</v>
      </c>
      <c r="E33" s="60"/>
      <c r="F33" s="65"/>
      <c r="G33" s="127">
        <f t="shared" si="8"/>
        <v>1546924400</v>
      </c>
      <c r="H33" s="127">
        <v>339987146.89000005</v>
      </c>
      <c r="I33" s="152">
        <f t="shared" si="5"/>
        <v>0.21978265188007898</v>
      </c>
      <c r="J33" s="148"/>
      <c r="AH33" s="2"/>
    </row>
    <row r="34" spans="2:35" ht="16.5" customHeight="1" x14ac:dyDescent="0.2">
      <c r="B34" s="61" t="s">
        <v>228</v>
      </c>
      <c r="C34" s="59" t="s">
        <v>229</v>
      </c>
      <c r="D34" s="60">
        <v>937664458</v>
      </c>
      <c r="E34" s="60"/>
      <c r="F34" s="65"/>
      <c r="G34" s="127">
        <f t="shared" si="8"/>
        <v>937664458</v>
      </c>
      <c r="H34" s="127">
        <v>314871421</v>
      </c>
      <c r="I34" s="152">
        <f t="shared" si="5"/>
        <v>0.33580394171237743</v>
      </c>
      <c r="J34" s="148"/>
      <c r="AH34" s="2"/>
    </row>
    <row r="35" spans="2:35" ht="16.5" customHeight="1" x14ac:dyDescent="0.2">
      <c r="B35" s="61" t="s">
        <v>230</v>
      </c>
      <c r="C35" s="59" t="s">
        <v>231</v>
      </c>
      <c r="D35" s="60">
        <v>5000000</v>
      </c>
      <c r="E35" s="60"/>
      <c r="F35" s="65"/>
      <c r="G35" s="127">
        <f t="shared" si="8"/>
        <v>5000000</v>
      </c>
      <c r="H35" s="127">
        <v>197760</v>
      </c>
      <c r="I35" s="152">
        <f t="shared" si="5"/>
        <v>3.9551999999999997E-2</v>
      </c>
      <c r="J35" s="148"/>
      <c r="AH35" s="2"/>
    </row>
    <row r="36" spans="2:35" ht="16.5" customHeight="1" x14ac:dyDescent="0.2">
      <c r="B36" s="61" t="s">
        <v>232</v>
      </c>
      <c r="C36" s="59" t="s">
        <v>233</v>
      </c>
      <c r="D36" s="60">
        <v>20000000</v>
      </c>
      <c r="E36" s="60"/>
      <c r="F36" s="65"/>
      <c r="G36" s="127">
        <f t="shared" si="8"/>
        <v>20000000</v>
      </c>
      <c r="H36" s="127">
        <v>8104571</v>
      </c>
      <c r="I36" s="152">
        <f t="shared" si="5"/>
        <v>0.40522855000000002</v>
      </c>
      <c r="J36" s="148"/>
      <c r="AH36" s="2"/>
    </row>
    <row r="37" spans="2:35" ht="16.5" customHeight="1" x14ac:dyDescent="0.2">
      <c r="B37" s="58" t="s">
        <v>170</v>
      </c>
      <c r="C37" s="141" t="s">
        <v>171</v>
      </c>
      <c r="D37" s="66">
        <f>SUM(D38:D41)</f>
        <v>6520075537</v>
      </c>
      <c r="E37" s="66">
        <f t="shared" ref="E37:G37" si="13">SUM(E38:E41)</f>
        <v>0</v>
      </c>
      <c r="F37" s="66">
        <f t="shared" si="13"/>
        <v>0</v>
      </c>
      <c r="G37" s="66">
        <f t="shared" si="13"/>
        <v>6520075537</v>
      </c>
      <c r="H37" s="66">
        <f>SUM(H38:H41)</f>
        <v>447932550</v>
      </c>
      <c r="I37" s="151">
        <f t="shared" si="5"/>
        <v>6.8700515424718764E-2</v>
      </c>
      <c r="J37" s="148"/>
      <c r="AF37" s="24">
        <f t="shared" si="9"/>
        <v>6520075536.9312992</v>
      </c>
      <c r="AG37" s="3" t="e">
        <f>+AF37+#REF!</f>
        <v>#REF!</v>
      </c>
      <c r="AH37" s="2"/>
    </row>
    <row r="38" spans="2:35" ht="16.5" customHeight="1" x14ac:dyDescent="0.2">
      <c r="B38" s="61" t="s">
        <v>234</v>
      </c>
      <c r="C38" s="68" t="s">
        <v>235</v>
      </c>
      <c r="D38" s="60">
        <v>3276984916</v>
      </c>
      <c r="E38" s="60"/>
      <c r="F38" s="65"/>
      <c r="G38" s="127">
        <f t="shared" si="8"/>
        <v>3276984916</v>
      </c>
      <c r="H38" s="127">
        <v>11720420</v>
      </c>
      <c r="I38" s="152">
        <f t="shared" si="5"/>
        <v>3.5765864965610966E-3</v>
      </c>
      <c r="J38" s="148"/>
      <c r="AG38" s="3"/>
      <c r="AH38" s="2"/>
    </row>
    <row r="39" spans="2:35" ht="16.5" customHeight="1" x14ac:dyDescent="0.2">
      <c r="B39" s="61" t="s">
        <v>236</v>
      </c>
      <c r="C39" s="68" t="s">
        <v>237</v>
      </c>
      <c r="D39" s="60">
        <v>3204090621</v>
      </c>
      <c r="E39" s="60"/>
      <c r="F39" s="65"/>
      <c r="G39" s="127">
        <f t="shared" si="8"/>
        <v>3204090621</v>
      </c>
      <c r="H39" s="127">
        <v>417275242</v>
      </c>
      <c r="I39" s="152">
        <f t="shared" si="5"/>
        <v>0.13023203503207034</v>
      </c>
      <c r="J39" s="148"/>
      <c r="AG39" s="3"/>
      <c r="AH39" s="2"/>
    </row>
    <row r="40" spans="2:35" ht="16.5" customHeight="1" x14ac:dyDescent="0.2">
      <c r="B40" s="61" t="s">
        <v>238</v>
      </c>
      <c r="C40" s="68" t="s">
        <v>239</v>
      </c>
      <c r="D40" s="60">
        <v>9000000</v>
      </c>
      <c r="E40" s="60"/>
      <c r="F40" s="65"/>
      <c r="G40" s="127">
        <f t="shared" si="8"/>
        <v>9000000</v>
      </c>
      <c r="H40" s="127">
        <v>4984751</v>
      </c>
      <c r="I40" s="152">
        <f t="shared" si="5"/>
        <v>0.55386122222222223</v>
      </c>
      <c r="J40" s="148"/>
      <c r="AG40" s="3"/>
      <c r="AH40" s="2"/>
    </row>
    <row r="41" spans="2:35" ht="16.5" customHeight="1" x14ac:dyDescent="0.2">
      <c r="B41" s="61" t="s">
        <v>240</v>
      </c>
      <c r="C41" s="68" t="s">
        <v>241</v>
      </c>
      <c r="D41" s="60">
        <v>30000000</v>
      </c>
      <c r="E41" s="60"/>
      <c r="F41" s="65"/>
      <c r="G41" s="127">
        <f t="shared" si="8"/>
        <v>30000000</v>
      </c>
      <c r="H41" s="127">
        <v>13952137</v>
      </c>
      <c r="I41" s="152">
        <f t="shared" si="5"/>
        <v>0.46507123333333333</v>
      </c>
      <c r="J41" s="148"/>
      <c r="AG41" s="3"/>
      <c r="AH41" s="2"/>
    </row>
    <row r="42" spans="2:35" ht="16.5" customHeight="1" x14ac:dyDescent="0.2">
      <c r="B42" s="58" t="s">
        <v>172</v>
      </c>
      <c r="C42" s="63" t="s">
        <v>173</v>
      </c>
      <c r="D42" s="66">
        <f>SUM(D43:D44)</f>
        <v>20052397</v>
      </c>
      <c r="E42" s="66">
        <f t="shared" ref="E42:G42" si="14">SUM(E43:E44)</f>
        <v>0</v>
      </c>
      <c r="F42" s="66">
        <f t="shared" si="14"/>
        <v>0</v>
      </c>
      <c r="G42" s="66">
        <f t="shared" si="14"/>
        <v>20052397</v>
      </c>
      <c r="H42" s="66">
        <f>SUM(H43:H44)</f>
        <v>15615737</v>
      </c>
      <c r="I42" s="151">
        <f t="shared" si="5"/>
        <v>0.7787466505874584</v>
      </c>
      <c r="J42" s="148"/>
      <c r="AF42" s="24">
        <f t="shared" si="9"/>
        <v>20052396.22125335</v>
      </c>
      <c r="AH42" s="83"/>
      <c r="AI42" s="24"/>
    </row>
    <row r="43" spans="2:35" ht="16.5" customHeight="1" x14ac:dyDescent="0.2">
      <c r="B43" s="61" t="s">
        <v>242</v>
      </c>
      <c r="C43" s="59" t="s">
        <v>243</v>
      </c>
      <c r="D43" s="60">
        <v>19952397</v>
      </c>
      <c r="E43" s="60"/>
      <c r="F43" s="60"/>
      <c r="G43" s="127">
        <f t="shared" si="8"/>
        <v>19952397</v>
      </c>
      <c r="H43" s="127">
        <v>15603054</v>
      </c>
      <c r="I43" s="152">
        <f t="shared" si="5"/>
        <v>0.78201401064744247</v>
      </c>
      <c r="J43" s="148"/>
      <c r="AH43" s="2"/>
      <c r="AI43" s="24"/>
    </row>
    <row r="44" spans="2:35" ht="16.5" customHeight="1" x14ac:dyDescent="0.2">
      <c r="B44" s="61" t="s">
        <v>244</v>
      </c>
      <c r="C44" s="59" t="s">
        <v>245</v>
      </c>
      <c r="D44" s="60">
        <v>100000</v>
      </c>
      <c r="E44" s="60"/>
      <c r="F44" s="60"/>
      <c r="G44" s="127">
        <f t="shared" si="8"/>
        <v>100000</v>
      </c>
      <c r="H44" s="127">
        <v>12683</v>
      </c>
      <c r="I44" s="152">
        <f t="shared" si="5"/>
        <v>0.12683</v>
      </c>
      <c r="J44" s="148"/>
      <c r="AH44" s="2"/>
      <c r="AI44" s="24"/>
    </row>
    <row r="45" spans="2:35" ht="16.5" customHeight="1" x14ac:dyDescent="0.2">
      <c r="B45" s="58" t="s">
        <v>174</v>
      </c>
      <c r="C45" s="63" t="s">
        <v>175</v>
      </c>
      <c r="D45" s="66">
        <f>SUM(D46:D47)</f>
        <v>13383433176</v>
      </c>
      <c r="E45" s="66">
        <f t="shared" ref="E45:G45" si="15">SUM(E46:E47)</f>
        <v>0</v>
      </c>
      <c r="F45" s="66">
        <f t="shared" si="15"/>
        <v>0</v>
      </c>
      <c r="G45" s="66">
        <f t="shared" si="15"/>
        <v>13383433176</v>
      </c>
      <c r="H45" s="147">
        <f>SUM(H46:H47)</f>
        <v>5941287517</v>
      </c>
      <c r="I45" s="151">
        <f t="shared" si="5"/>
        <v>0.44392850764587699</v>
      </c>
      <c r="J45" s="148"/>
      <c r="AF45" s="24">
        <f t="shared" si="9"/>
        <v>13383433175.556072</v>
      </c>
      <c r="AH45" s="2"/>
      <c r="AI45" s="24"/>
    </row>
    <row r="46" spans="2:35" ht="16.5" customHeight="1" x14ac:dyDescent="0.2">
      <c r="B46" s="61" t="s">
        <v>246</v>
      </c>
      <c r="C46" s="59" t="s">
        <v>247</v>
      </c>
      <c r="D46" s="60">
        <v>13125084506</v>
      </c>
      <c r="E46" s="60"/>
      <c r="F46" s="60"/>
      <c r="G46" s="127">
        <f t="shared" si="8"/>
        <v>13125084506</v>
      </c>
      <c r="H46" s="91">
        <v>5913368300</v>
      </c>
      <c r="I46" s="152">
        <f t="shared" si="5"/>
        <v>0.4505394458448449</v>
      </c>
      <c r="J46" s="148"/>
      <c r="AH46" s="2"/>
      <c r="AI46" s="24"/>
    </row>
    <row r="47" spans="2:35" ht="16.5" customHeight="1" x14ac:dyDescent="0.2">
      <c r="B47" s="61" t="s">
        <v>248</v>
      </c>
      <c r="C47" s="59" t="s">
        <v>249</v>
      </c>
      <c r="D47" s="60">
        <v>258348670</v>
      </c>
      <c r="E47" s="60"/>
      <c r="F47" s="60"/>
      <c r="G47" s="127">
        <f t="shared" si="8"/>
        <v>258348670</v>
      </c>
      <c r="H47" s="91">
        <v>27919217</v>
      </c>
      <c r="I47" s="152">
        <f t="shared" si="5"/>
        <v>0.10806797263558586</v>
      </c>
      <c r="J47" s="148"/>
      <c r="AH47" s="2"/>
      <c r="AI47" s="24"/>
    </row>
    <row r="48" spans="2:35" ht="16.5" customHeight="1" x14ac:dyDescent="0.2">
      <c r="B48" s="61" t="s">
        <v>176</v>
      </c>
      <c r="C48" s="59" t="s">
        <v>177</v>
      </c>
      <c r="D48" s="60">
        <f t="shared" ref="D48:F49" si="16">+D49</f>
        <v>188950688</v>
      </c>
      <c r="E48" s="60">
        <f t="shared" si="16"/>
        <v>0</v>
      </c>
      <c r="F48" s="60">
        <f t="shared" si="16"/>
        <v>0</v>
      </c>
      <c r="G48" s="60">
        <f>+G49</f>
        <v>188950688</v>
      </c>
      <c r="H48" s="60">
        <f>+H49</f>
        <v>0</v>
      </c>
      <c r="I48" s="152">
        <f t="shared" si="5"/>
        <v>0</v>
      </c>
      <c r="J48" s="148"/>
      <c r="AF48" s="24">
        <f t="shared" si="9"/>
        <v>188950688</v>
      </c>
      <c r="AH48" s="82"/>
      <c r="AI48" s="24"/>
    </row>
    <row r="49" spans="2:35" ht="16.5" customHeight="1" x14ac:dyDescent="0.2">
      <c r="B49" s="61" t="s">
        <v>178</v>
      </c>
      <c r="C49" s="59" t="s">
        <v>1</v>
      </c>
      <c r="D49" s="60">
        <f t="shared" si="16"/>
        <v>188950688</v>
      </c>
      <c r="E49" s="60">
        <f t="shared" si="16"/>
        <v>0</v>
      </c>
      <c r="F49" s="60">
        <f t="shared" si="16"/>
        <v>0</v>
      </c>
      <c r="G49" s="92">
        <f>+E49+D49</f>
        <v>188950688</v>
      </c>
      <c r="H49" s="60">
        <f>+H50</f>
        <v>0</v>
      </c>
      <c r="I49" s="152">
        <f t="shared" si="5"/>
        <v>0</v>
      </c>
      <c r="J49" s="148"/>
      <c r="AF49" s="24">
        <f t="shared" si="9"/>
        <v>188950688</v>
      </c>
      <c r="AH49" s="131"/>
      <c r="AI49" s="24"/>
    </row>
    <row r="50" spans="2:35" ht="16.5" customHeight="1" x14ac:dyDescent="0.2">
      <c r="B50" s="58" t="s">
        <v>179</v>
      </c>
      <c r="C50" s="63" t="s">
        <v>180</v>
      </c>
      <c r="D50" s="66">
        <v>188950688</v>
      </c>
      <c r="E50" s="66">
        <v>0</v>
      </c>
      <c r="F50" s="67">
        <v>0</v>
      </c>
      <c r="G50" s="122">
        <f t="shared" ref="G50" si="17">+D50+E50-F50</f>
        <v>188950688</v>
      </c>
      <c r="H50" s="149">
        <v>0</v>
      </c>
      <c r="I50" s="151">
        <f t="shared" si="5"/>
        <v>0</v>
      </c>
      <c r="J50" s="148"/>
      <c r="AF50" s="24">
        <f t="shared" si="9"/>
        <v>188950688</v>
      </c>
      <c r="AH50" s="131"/>
      <c r="AI50" s="24"/>
    </row>
    <row r="51" spans="2:35" ht="16.5" customHeight="1" x14ac:dyDescent="0.2">
      <c r="B51" s="61" t="s">
        <v>181</v>
      </c>
      <c r="C51" s="59" t="s">
        <v>182</v>
      </c>
      <c r="D51" s="123">
        <f>+D52+D59</f>
        <v>441879613</v>
      </c>
      <c r="E51" s="123">
        <f>+E52+E59</f>
        <v>2500000000</v>
      </c>
      <c r="F51" s="123">
        <f>+F52+F59</f>
        <v>0</v>
      </c>
      <c r="G51" s="123">
        <f>+G52+G59</f>
        <v>2941879613</v>
      </c>
      <c r="H51" s="123">
        <f>+H52+H59</f>
        <v>1367002103</v>
      </c>
      <c r="I51" s="152">
        <f t="shared" si="5"/>
        <v>0.46466962718640653</v>
      </c>
      <c r="J51" s="148"/>
      <c r="AF51" s="24">
        <f t="shared" si="9"/>
        <v>2941879612.5353303</v>
      </c>
      <c r="AH51" s="82"/>
      <c r="AI51" s="24"/>
    </row>
    <row r="52" spans="2:35" s="2" customFormat="1" ht="16.5" customHeight="1" x14ac:dyDescent="0.2">
      <c r="B52" s="61" t="s">
        <v>183</v>
      </c>
      <c r="C52" s="59" t="s">
        <v>184</v>
      </c>
      <c r="D52" s="60">
        <f>+D53+D57</f>
        <v>441879613</v>
      </c>
      <c r="E52" s="60">
        <f>+E53+E57</f>
        <v>0</v>
      </c>
      <c r="F52" s="60">
        <f>+F53+F57</f>
        <v>0</v>
      </c>
      <c r="G52" s="60">
        <f>+G53+G57</f>
        <v>441879613</v>
      </c>
      <c r="H52" s="60">
        <f>+H53+H57</f>
        <v>367002103</v>
      </c>
      <c r="I52" s="152">
        <f t="shared" si="5"/>
        <v>0.83054771526651083</v>
      </c>
      <c r="J52" s="148"/>
      <c r="N52" s="16"/>
      <c r="O52" s="25"/>
      <c r="AF52" s="24">
        <f>+G52-I52</f>
        <v>441879612.16945231</v>
      </c>
      <c r="AH52" s="83"/>
      <c r="AI52" s="24"/>
    </row>
    <row r="53" spans="2:35" s="2" customFormat="1" ht="16.5" customHeight="1" x14ac:dyDescent="0.2">
      <c r="B53" s="61" t="s">
        <v>185</v>
      </c>
      <c r="C53" s="59" t="s">
        <v>186</v>
      </c>
      <c r="D53" s="60">
        <f>+D54</f>
        <v>434879613</v>
      </c>
      <c r="E53" s="60">
        <f>+E54</f>
        <v>0</v>
      </c>
      <c r="F53" s="60">
        <f>+F54</f>
        <v>0</v>
      </c>
      <c r="G53" s="60">
        <f>+G54</f>
        <v>434879613</v>
      </c>
      <c r="H53" s="60">
        <f>+H54</f>
        <v>367002103</v>
      </c>
      <c r="I53" s="152">
        <f t="shared" si="5"/>
        <v>0.84391655076275096</v>
      </c>
      <c r="J53" s="148"/>
      <c r="N53" s="16"/>
      <c r="O53" s="25"/>
      <c r="AF53" s="24">
        <f>+G53-I53</f>
        <v>434879612.15608346</v>
      </c>
      <c r="AH53" s="83"/>
      <c r="AI53" s="24"/>
    </row>
    <row r="54" spans="2:35" ht="16.5" customHeight="1" x14ac:dyDescent="0.2">
      <c r="B54" s="58" t="s">
        <v>187</v>
      </c>
      <c r="C54" s="63" t="s">
        <v>188</v>
      </c>
      <c r="D54" s="66">
        <f>SUM(D55:D56)</f>
        <v>434879613</v>
      </c>
      <c r="E54" s="66">
        <f t="shared" ref="E54:G54" si="18">SUM(E55:E56)</f>
        <v>0</v>
      </c>
      <c r="F54" s="66">
        <f t="shared" si="18"/>
        <v>0</v>
      </c>
      <c r="G54" s="66">
        <f t="shared" si="18"/>
        <v>434879613</v>
      </c>
      <c r="H54" s="66">
        <f>SUM(H55:H56)</f>
        <v>367002103</v>
      </c>
      <c r="I54" s="151">
        <f t="shared" si="5"/>
        <v>0.84391655076275096</v>
      </c>
      <c r="J54" s="148"/>
      <c r="AF54" s="24">
        <f t="shared" si="9"/>
        <v>434879612.15608346</v>
      </c>
      <c r="AH54" s="82"/>
      <c r="AI54" s="24"/>
    </row>
    <row r="55" spans="2:35" ht="16.5" customHeight="1" x14ac:dyDescent="0.2">
      <c r="B55" s="61" t="s">
        <v>250</v>
      </c>
      <c r="C55" s="59" t="s">
        <v>251</v>
      </c>
      <c r="D55" s="60">
        <v>330504613</v>
      </c>
      <c r="E55" s="66"/>
      <c r="F55" s="66"/>
      <c r="G55" s="127">
        <f t="shared" ref="G55:G56" si="19">+D55+E55-F55</f>
        <v>330504613</v>
      </c>
      <c r="H55" s="69">
        <v>212466034</v>
      </c>
      <c r="I55" s="152">
        <f t="shared" si="5"/>
        <v>0.64285345996063303</v>
      </c>
      <c r="J55" s="148"/>
      <c r="AH55" s="82"/>
      <c r="AI55" s="24"/>
    </row>
    <row r="56" spans="2:35" ht="16.5" customHeight="1" x14ac:dyDescent="0.2">
      <c r="B56" s="61" t="s">
        <v>252</v>
      </c>
      <c r="C56" s="59" t="s">
        <v>253</v>
      </c>
      <c r="D56" s="60">
        <v>104375000</v>
      </c>
      <c r="E56" s="66"/>
      <c r="F56" s="66"/>
      <c r="G56" s="127">
        <f t="shared" si="19"/>
        <v>104375000</v>
      </c>
      <c r="H56" s="69">
        <v>154536069</v>
      </c>
      <c r="I56" s="152">
        <f t="shared" si="5"/>
        <v>1.4805850922155688</v>
      </c>
      <c r="J56" s="148"/>
      <c r="AH56" s="82"/>
      <c r="AI56" s="24"/>
    </row>
    <row r="57" spans="2:35" ht="16.5" customHeight="1" x14ac:dyDescent="0.2">
      <c r="B57" s="61" t="s">
        <v>189</v>
      </c>
      <c r="C57" s="59" t="s">
        <v>190</v>
      </c>
      <c r="D57" s="60">
        <f>+D58</f>
        <v>7000000</v>
      </c>
      <c r="E57" s="60">
        <f t="shared" ref="E57:H57" si="20">+E58</f>
        <v>0</v>
      </c>
      <c r="F57" s="60">
        <f t="shared" si="20"/>
        <v>0</v>
      </c>
      <c r="G57" s="60">
        <f t="shared" si="20"/>
        <v>7000000</v>
      </c>
      <c r="H57" s="60">
        <f t="shared" si="20"/>
        <v>0</v>
      </c>
      <c r="I57" s="152">
        <f t="shared" si="5"/>
        <v>0</v>
      </c>
      <c r="J57" s="148"/>
      <c r="AF57" s="24">
        <f>+G57-I57</f>
        <v>7000000</v>
      </c>
      <c r="AH57" s="82"/>
      <c r="AI57" s="24"/>
    </row>
    <row r="58" spans="2:35" ht="16.5" customHeight="1" x14ac:dyDescent="0.2">
      <c r="B58" s="58" t="s">
        <v>191</v>
      </c>
      <c r="C58" s="63" t="s">
        <v>205</v>
      </c>
      <c r="D58" s="147">
        <v>7000000</v>
      </c>
      <c r="E58" s="66"/>
      <c r="F58" s="67"/>
      <c r="G58" s="122">
        <f t="shared" ref="G58:G61" si="21">+D58+E58-F58</f>
        <v>7000000</v>
      </c>
      <c r="H58" s="139">
        <v>0</v>
      </c>
      <c r="I58" s="152">
        <f t="shared" si="5"/>
        <v>0</v>
      </c>
      <c r="J58" s="148"/>
      <c r="AF58" s="24">
        <f t="shared" si="9"/>
        <v>7000000</v>
      </c>
      <c r="AH58" s="82"/>
      <c r="AI58" s="24"/>
    </row>
    <row r="59" spans="2:35" ht="16.5" customHeight="1" x14ac:dyDescent="0.2">
      <c r="B59" s="61" t="s">
        <v>192</v>
      </c>
      <c r="C59" s="59" t="s">
        <v>193</v>
      </c>
      <c r="D59" s="60">
        <f>+D60</f>
        <v>0</v>
      </c>
      <c r="E59" s="60">
        <f>+E60</f>
        <v>2500000000</v>
      </c>
      <c r="F59" s="67">
        <v>0</v>
      </c>
      <c r="G59" s="127">
        <f t="shared" si="21"/>
        <v>2500000000</v>
      </c>
      <c r="H59" s="127">
        <f>+H60</f>
        <v>1000000000</v>
      </c>
      <c r="I59" s="152">
        <f t="shared" si="5"/>
        <v>0.4</v>
      </c>
      <c r="J59" s="148"/>
      <c r="AF59" s="24">
        <f t="shared" si="9"/>
        <v>2499999999.5999999</v>
      </c>
      <c r="AH59" s="82"/>
      <c r="AI59" s="24"/>
    </row>
    <row r="60" spans="2:35" ht="16.5" customHeight="1" x14ac:dyDescent="0.2">
      <c r="B60" s="61" t="s">
        <v>194</v>
      </c>
      <c r="C60" s="59" t="s">
        <v>195</v>
      </c>
      <c r="D60" s="60">
        <v>0</v>
      </c>
      <c r="E60" s="60">
        <f>+E61</f>
        <v>2500000000</v>
      </c>
      <c r="F60" s="67"/>
      <c r="G60" s="127">
        <f t="shared" si="21"/>
        <v>2500000000</v>
      </c>
      <c r="H60" s="127">
        <f>+H61</f>
        <v>1000000000</v>
      </c>
      <c r="I60" s="152">
        <f t="shared" si="5"/>
        <v>0.4</v>
      </c>
      <c r="J60" s="148"/>
      <c r="AH60" s="82"/>
      <c r="AI60" s="24"/>
    </row>
    <row r="61" spans="2:35" ht="16.5" customHeight="1" x14ac:dyDescent="0.2">
      <c r="B61" s="61" t="s">
        <v>259</v>
      </c>
      <c r="C61" s="59" t="s">
        <v>139</v>
      </c>
      <c r="D61" s="60"/>
      <c r="E61" s="60">
        <v>2500000000</v>
      </c>
      <c r="F61" s="67"/>
      <c r="G61" s="127">
        <f t="shared" si="21"/>
        <v>2500000000</v>
      </c>
      <c r="H61" s="127">
        <v>1000000000</v>
      </c>
      <c r="I61" s="152">
        <f t="shared" si="5"/>
        <v>0.4</v>
      </c>
      <c r="J61" s="148"/>
      <c r="AH61" s="82"/>
      <c r="AI61" s="24"/>
    </row>
    <row r="62" spans="2:35" s="2" customFormat="1" ht="16.5" customHeight="1" x14ac:dyDescent="0.2">
      <c r="B62" s="58" t="s">
        <v>204</v>
      </c>
      <c r="C62" s="63" t="s">
        <v>196</v>
      </c>
      <c r="D62" s="66">
        <f>+D63</f>
        <v>508466570</v>
      </c>
      <c r="E62" s="66">
        <v>0</v>
      </c>
      <c r="F62" s="66">
        <v>0</v>
      </c>
      <c r="G62" s="66">
        <f t="shared" ref="G62:H65" si="22">+G63</f>
        <v>508466570</v>
      </c>
      <c r="H62" s="147">
        <f t="shared" si="22"/>
        <v>302204982</v>
      </c>
      <c r="I62" s="151">
        <f t="shared" si="5"/>
        <v>0.59434582297121319</v>
      </c>
      <c r="J62" s="148"/>
      <c r="N62" s="16"/>
      <c r="O62" s="25"/>
      <c r="AF62" s="24">
        <f t="shared" si="9"/>
        <v>508466569.40565419</v>
      </c>
      <c r="AH62" s="83"/>
      <c r="AI62" s="24"/>
    </row>
    <row r="63" spans="2:35" s="2" customFormat="1" ht="16.5" customHeight="1" x14ac:dyDescent="0.2">
      <c r="B63" s="61" t="s">
        <v>197</v>
      </c>
      <c r="C63" s="59" t="s">
        <v>198</v>
      </c>
      <c r="D63" s="60">
        <f>+D64</f>
        <v>508466570</v>
      </c>
      <c r="E63" s="60">
        <f>SUM(E64:E66)</f>
        <v>0</v>
      </c>
      <c r="F63" s="60">
        <f>SUM(F64:F66)</f>
        <v>0</v>
      </c>
      <c r="G63" s="60">
        <f t="shared" si="22"/>
        <v>508466570</v>
      </c>
      <c r="H63" s="91">
        <f t="shared" si="22"/>
        <v>302204982</v>
      </c>
      <c r="I63" s="152">
        <f t="shared" si="5"/>
        <v>0.59434582297121319</v>
      </c>
      <c r="J63" s="148"/>
      <c r="N63" s="16"/>
      <c r="O63" s="25"/>
      <c r="AF63" s="24">
        <f t="shared" si="9"/>
        <v>508466569.40565419</v>
      </c>
      <c r="AH63" s="132"/>
      <c r="AI63" s="24"/>
    </row>
    <row r="64" spans="2:35" ht="16.5" customHeight="1" x14ac:dyDescent="0.2">
      <c r="B64" s="61" t="s">
        <v>199</v>
      </c>
      <c r="C64" s="59" t="s">
        <v>2</v>
      </c>
      <c r="D64" s="60">
        <f>+D65</f>
        <v>508466570</v>
      </c>
      <c r="E64" s="60">
        <v>0</v>
      </c>
      <c r="F64" s="60"/>
      <c r="G64" s="60">
        <f t="shared" si="22"/>
        <v>508466570</v>
      </c>
      <c r="H64" s="91">
        <f t="shared" si="22"/>
        <v>302204982</v>
      </c>
      <c r="I64" s="152">
        <f t="shared" si="5"/>
        <v>0.59434582297121319</v>
      </c>
      <c r="J64" s="148"/>
      <c r="AF64" s="24">
        <f t="shared" si="9"/>
        <v>508466569.40565419</v>
      </c>
      <c r="AH64" s="82"/>
    </row>
    <row r="65" spans="1:36" ht="16.5" customHeight="1" x14ac:dyDescent="0.2">
      <c r="B65" s="61" t="s">
        <v>200</v>
      </c>
      <c r="C65" s="59" t="s">
        <v>201</v>
      </c>
      <c r="D65" s="60">
        <f>+D66</f>
        <v>508466570</v>
      </c>
      <c r="E65" s="60">
        <v>0</v>
      </c>
      <c r="F65" s="60"/>
      <c r="G65" s="60">
        <f t="shared" si="22"/>
        <v>508466570</v>
      </c>
      <c r="H65" s="91">
        <f t="shared" si="22"/>
        <v>302204982</v>
      </c>
      <c r="I65" s="152">
        <f t="shared" si="5"/>
        <v>0.59434582297121319</v>
      </c>
      <c r="J65" s="148"/>
      <c r="AF65" s="24">
        <f t="shared" si="9"/>
        <v>508466569.40565419</v>
      </c>
      <c r="AH65" s="82"/>
    </row>
    <row r="66" spans="1:36" ht="16.5" customHeight="1" x14ac:dyDescent="0.2">
      <c r="A66" s="144"/>
      <c r="B66" s="142" t="s">
        <v>202</v>
      </c>
      <c r="C66" s="59" t="s">
        <v>203</v>
      </c>
      <c r="D66" s="60">
        <f>SUM(D67:D68)</f>
        <v>508466570</v>
      </c>
      <c r="E66" s="60">
        <f t="shared" ref="E66:G66" si="23">SUM(E67:E68)</f>
        <v>0</v>
      </c>
      <c r="F66" s="60">
        <f t="shared" si="23"/>
        <v>0</v>
      </c>
      <c r="G66" s="60">
        <f t="shared" si="23"/>
        <v>508466570</v>
      </c>
      <c r="H66" s="91">
        <f>SUM(H67:H68)</f>
        <v>302204982</v>
      </c>
      <c r="I66" s="152">
        <f t="shared" si="5"/>
        <v>0.59434582297121319</v>
      </c>
      <c r="J66" s="148"/>
      <c r="AF66" s="24">
        <f t="shared" si="9"/>
        <v>508466569.40565419</v>
      </c>
      <c r="AH66" s="2"/>
    </row>
    <row r="67" spans="1:36" ht="16.5" customHeight="1" x14ac:dyDescent="0.2">
      <c r="A67" s="144"/>
      <c r="B67" s="142" t="s">
        <v>254</v>
      </c>
      <c r="C67" s="59" t="s">
        <v>31</v>
      </c>
      <c r="D67" s="60">
        <v>220457054</v>
      </c>
      <c r="E67" s="60"/>
      <c r="F67" s="60"/>
      <c r="G67" s="91">
        <f t="shared" ref="G67:G68" si="24">+E67+D67</f>
        <v>220457054</v>
      </c>
      <c r="H67" s="91">
        <v>160143595</v>
      </c>
      <c r="I67" s="152">
        <f t="shared" si="5"/>
        <v>0.72641628877069186</v>
      </c>
      <c r="J67" s="148"/>
      <c r="AH67" s="83"/>
    </row>
    <row r="68" spans="1:36" ht="16.5" customHeight="1" x14ac:dyDescent="0.2">
      <c r="A68" s="144"/>
      <c r="B68" s="142" t="s">
        <v>255</v>
      </c>
      <c r="C68" s="59" t="s">
        <v>32</v>
      </c>
      <c r="D68" s="60">
        <v>288009516</v>
      </c>
      <c r="E68" s="60"/>
      <c r="F68" s="60"/>
      <c r="G68" s="91">
        <f t="shared" si="24"/>
        <v>288009516</v>
      </c>
      <c r="H68" s="91">
        <v>142061387</v>
      </c>
      <c r="I68" s="152">
        <f t="shared" si="5"/>
        <v>0.49325240697949718</v>
      </c>
      <c r="J68" s="148"/>
      <c r="AH68" s="83"/>
    </row>
    <row r="69" spans="1:36" ht="16.5" customHeight="1" x14ac:dyDescent="0.2">
      <c r="B69" s="81"/>
      <c r="C69" s="70" t="s">
        <v>3</v>
      </c>
      <c r="D69" s="71">
        <f>+D70</f>
        <v>4768431000</v>
      </c>
      <c r="E69" s="71">
        <f t="shared" ref="E69:H69" si="25">+E70</f>
        <v>0</v>
      </c>
      <c r="F69" s="71">
        <f t="shared" si="25"/>
        <v>0</v>
      </c>
      <c r="G69" s="71">
        <f t="shared" si="25"/>
        <v>4768431000</v>
      </c>
      <c r="H69" s="71">
        <f t="shared" si="25"/>
        <v>1679887979.95</v>
      </c>
      <c r="I69" s="153">
        <f>+H69/G69</f>
        <v>0.35229365381401134</v>
      </c>
      <c r="J69" s="148"/>
      <c r="AF69" s="24">
        <f t="shared" ref="AF69:AF74" si="26">+G69-I69</f>
        <v>4768430999.647706</v>
      </c>
      <c r="AI69" s="14"/>
    </row>
    <row r="70" spans="1:36" ht="16.5" customHeight="1" x14ac:dyDescent="0.2">
      <c r="B70" s="72"/>
      <c r="C70" s="73" t="s">
        <v>4</v>
      </c>
      <c r="D70" s="74">
        <f>+D71+D72+D73</f>
        <v>4768431000</v>
      </c>
      <c r="E70" s="74">
        <f>+E71</f>
        <v>0</v>
      </c>
      <c r="F70" s="74">
        <f>+F71</f>
        <v>0</v>
      </c>
      <c r="G70" s="74">
        <f>+G71+G72+G73</f>
        <v>4768431000</v>
      </c>
      <c r="H70" s="147">
        <f>+H71+H72+H73</f>
        <v>1679887979.95</v>
      </c>
      <c r="I70" s="152">
        <f t="shared" si="5"/>
        <v>0.35229365381401134</v>
      </c>
      <c r="J70" s="148"/>
      <c r="L70" s="14"/>
      <c r="P70" s="14"/>
      <c r="T70" s="24"/>
      <c r="X70" s="15"/>
      <c r="AF70" s="24">
        <f t="shared" si="26"/>
        <v>4768430999.647706</v>
      </c>
    </row>
    <row r="71" spans="1:36" ht="16.5" customHeight="1" x14ac:dyDescent="0.2">
      <c r="B71" s="75"/>
      <c r="C71" s="76" t="s">
        <v>28</v>
      </c>
      <c r="D71" s="77">
        <v>4684600000</v>
      </c>
      <c r="E71" s="77"/>
      <c r="F71" s="77">
        <v>0</v>
      </c>
      <c r="G71" s="91">
        <f>+E71+D71</f>
        <v>4684600000</v>
      </c>
      <c r="H71" s="150">
        <v>1653968051</v>
      </c>
      <c r="I71" s="152">
        <f t="shared" si="5"/>
        <v>0.3530649470605815</v>
      </c>
      <c r="J71" s="148"/>
      <c r="L71" s="14"/>
      <c r="M71" s="14"/>
      <c r="Q71" s="14"/>
      <c r="T71" s="15" t="str">
        <f>+[1]REP_PAC018_SituacionCupoPACActu!$Z$23</f>
        <v>1.896.610.358,67</v>
      </c>
      <c r="U71" s="15" t="e">
        <f>+T71-I71</f>
        <v>#VALUE!</v>
      </c>
      <c r="V71" s="15"/>
      <c r="X71" s="15"/>
      <c r="AF71" s="24">
        <f t="shared" si="26"/>
        <v>4684599999.6469355</v>
      </c>
      <c r="AH71" s="2"/>
      <c r="AI71" s="15"/>
      <c r="AJ71" s="15"/>
    </row>
    <row r="72" spans="1:36" ht="16.5" customHeight="1" x14ac:dyDescent="0.2">
      <c r="B72" s="75"/>
      <c r="C72" s="76" t="s">
        <v>26</v>
      </c>
      <c r="D72" s="77">
        <v>65600000</v>
      </c>
      <c r="E72" s="77">
        <v>0</v>
      </c>
      <c r="F72" s="77">
        <v>0</v>
      </c>
      <c r="G72" s="91">
        <f>+E72+D72</f>
        <v>65600000</v>
      </c>
      <c r="H72" s="91">
        <v>23035928.949999999</v>
      </c>
      <c r="I72" s="152">
        <f t="shared" si="5"/>
        <v>0.35115745350609756</v>
      </c>
      <c r="J72" s="148"/>
      <c r="K72" s="23"/>
      <c r="P72" s="14"/>
      <c r="Q72" s="14"/>
      <c r="T72" s="15" t="e">
        <f>+I71+#REF!+#REF!</f>
        <v>#REF!</v>
      </c>
      <c r="X72" s="14"/>
      <c r="AF72" s="24">
        <f t="shared" si="26"/>
        <v>65599999.648842543</v>
      </c>
      <c r="AH72" s="2"/>
      <c r="AI72" s="15"/>
      <c r="AJ72" s="15"/>
    </row>
    <row r="73" spans="1:36" ht="16.5" customHeight="1" x14ac:dyDescent="0.2">
      <c r="B73" s="75"/>
      <c r="C73" s="76" t="s">
        <v>27</v>
      </c>
      <c r="D73" s="77">
        <v>18231000</v>
      </c>
      <c r="E73" s="77">
        <v>0</v>
      </c>
      <c r="F73" s="77">
        <v>0</v>
      </c>
      <c r="G73" s="91">
        <f>+E73+D73</f>
        <v>18231000</v>
      </c>
      <c r="H73" s="91">
        <v>2884000</v>
      </c>
      <c r="I73" s="152">
        <f t="shared" si="5"/>
        <v>0.15819209039548024</v>
      </c>
      <c r="J73" s="148"/>
      <c r="T73" s="15"/>
      <c r="X73" s="14"/>
      <c r="AF73" s="24">
        <f t="shared" si="26"/>
        <v>18230999.841807909</v>
      </c>
      <c r="AH73" s="2"/>
      <c r="AI73" s="15"/>
    </row>
    <row r="74" spans="1:36" ht="16.5" customHeight="1" thickBot="1" x14ac:dyDescent="0.25">
      <c r="B74" s="78"/>
      <c r="C74" s="79" t="s">
        <v>103</v>
      </c>
      <c r="D74" s="80">
        <f>+D7+D69</f>
        <v>54244426389</v>
      </c>
      <c r="E74" s="80">
        <f>+E7+E69</f>
        <v>2550405135</v>
      </c>
      <c r="F74" s="80">
        <f>+F7+F69</f>
        <v>0</v>
      </c>
      <c r="G74" s="80">
        <f>+G7+G69</f>
        <v>56794831524</v>
      </c>
      <c r="H74" s="80">
        <f>+H7+H69</f>
        <v>24169174715.84</v>
      </c>
      <c r="I74" s="154">
        <f>+H74/G74</f>
        <v>0.42555236220089399</v>
      </c>
      <c r="J74" s="148"/>
      <c r="L74" s="24"/>
      <c r="M74" s="24"/>
      <c r="P74" s="14"/>
      <c r="AF74" s="24">
        <f t="shared" si="26"/>
        <v>56794831523.574448</v>
      </c>
      <c r="AH74" s="111"/>
      <c r="AI74" s="14"/>
    </row>
    <row r="75" spans="1:36" ht="16.5" customHeight="1" x14ac:dyDescent="0.2">
      <c r="B75" s="106"/>
      <c r="C75" s="107"/>
      <c r="D75" s="108">
        <v>54244426389</v>
      </c>
      <c r="E75" s="108"/>
      <c r="F75" s="108"/>
      <c r="G75" s="108">
        <v>56794831524</v>
      </c>
      <c r="H75" s="108">
        <v>24169174715.216003</v>
      </c>
      <c r="I75" s="108"/>
      <c r="J75" s="148"/>
      <c r="L75" s="24"/>
      <c r="M75" s="24"/>
      <c r="P75" s="14"/>
      <c r="AH75" s="103">
        <f>+I74-I75</f>
        <v>0.42555236220089399</v>
      </c>
      <c r="AI75" s="14"/>
    </row>
    <row r="76" spans="1:36" ht="16.5" customHeight="1" thickBot="1" x14ac:dyDescent="0.25">
      <c r="B76" s="159"/>
      <c r="C76" s="160"/>
      <c r="D76" s="161">
        <f>+D74-D75</f>
        <v>0</v>
      </c>
      <c r="E76" s="162"/>
      <c r="F76" s="162"/>
      <c r="G76" s="162">
        <f>+G74-G75</f>
        <v>0</v>
      </c>
      <c r="H76" s="163"/>
      <c r="I76" s="163"/>
      <c r="J76" s="148"/>
      <c r="L76" s="24"/>
      <c r="M76" s="24"/>
      <c r="P76" s="14"/>
      <c r="AH76" s="14"/>
      <c r="AI76" s="14"/>
    </row>
    <row r="77" spans="1:36" ht="16.5" customHeight="1" x14ac:dyDescent="0.2">
      <c r="B77" s="252" t="s">
        <v>102</v>
      </c>
      <c r="C77" s="253"/>
      <c r="D77" s="253"/>
      <c r="E77" s="253"/>
      <c r="F77" s="253"/>
      <c r="G77" s="253"/>
      <c r="H77" s="253"/>
      <c r="I77" s="254"/>
      <c r="J77" s="148"/>
      <c r="L77" s="24"/>
      <c r="M77" s="24"/>
      <c r="P77" s="14"/>
      <c r="AH77" s="14"/>
      <c r="AI77" s="14"/>
    </row>
    <row r="78" spans="1:36" ht="16.5" customHeight="1" x14ac:dyDescent="0.2">
      <c r="B78" s="99">
        <v>311001</v>
      </c>
      <c r="C78" s="95" t="s">
        <v>25</v>
      </c>
      <c r="D78" s="98"/>
      <c r="E78" s="97"/>
      <c r="F78" s="97"/>
      <c r="G78" s="97">
        <f>+D78+E78</f>
        <v>0</v>
      </c>
      <c r="H78" s="158"/>
      <c r="I78" s="156"/>
      <c r="J78" s="148"/>
      <c r="L78" s="24"/>
      <c r="M78" s="24"/>
      <c r="P78" s="14"/>
      <c r="AH78" s="82"/>
      <c r="AI78" s="14"/>
    </row>
    <row r="79" spans="1:36" ht="16.5" customHeight="1" x14ac:dyDescent="0.2">
      <c r="B79" s="99">
        <v>410001</v>
      </c>
      <c r="C79" s="95" t="s">
        <v>87</v>
      </c>
      <c r="D79" s="105">
        <v>9809286</v>
      </c>
      <c r="E79" s="97"/>
      <c r="F79" s="97"/>
      <c r="G79" s="97">
        <f>+D79+E79</f>
        <v>9809286</v>
      </c>
      <c r="H79" s="158">
        <v>9700000</v>
      </c>
      <c r="I79" s="156"/>
      <c r="J79" s="148"/>
      <c r="L79" s="24"/>
      <c r="M79" s="24"/>
      <c r="P79" s="14"/>
      <c r="AH79" s="103"/>
      <c r="AI79" s="14"/>
    </row>
    <row r="80" spans="1:36" ht="16.5" customHeight="1" x14ac:dyDescent="0.2">
      <c r="B80" s="99">
        <v>410002</v>
      </c>
      <c r="C80" s="95" t="s">
        <v>88</v>
      </c>
      <c r="D80" s="105">
        <v>1514460.9299999997</v>
      </c>
      <c r="E80" s="97"/>
      <c r="F80" s="97"/>
      <c r="G80" s="97">
        <v>1514988</v>
      </c>
      <c r="H80" s="158">
        <v>1514988</v>
      </c>
      <c r="I80" s="156"/>
      <c r="J80" s="148"/>
      <c r="L80" s="24"/>
      <c r="M80" s="24"/>
      <c r="P80" s="14"/>
      <c r="AH80" s="103"/>
      <c r="AI80" s="14"/>
    </row>
    <row r="81" spans="2:35" ht="16.5" customHeight="1" thickBot="1" x14ac:dyDescent="0.25">
      <c r="B81" s="100"/>
      <c r="C81" s="101" t="s">
        <v>104</v>
      </c>
      <c r="D81" s="102">
        <f>SUM(D78:D80)</f>
        <v>11323746.93</v>
      </c>
      <c r="E81" s="102">
        <f>SUM(E76:E80)</f>
        <v>0</v>
      </c>
      <c r="F81" s="102"/>
      <c r="G81" s="102">
        <f>SUM(G78:G80)</f>
        <v>11324274</v>
      </c>
      <c r="H81" s="102">
        <f>SUM(H78:H80)</f>
        <v>11214988</v>
      </c>
      <c r="I81" s="157"/>
      <c r="J81" s="14"/>
      <c r="L81" s="24"/>
      <c r="M81" s="24"/>
      <c r="P81" s="14"/>
      <c r="AH81" s="94"/>
      <c r="AI81" s="14"/>
    </row>
    <row r="82" spans="2:35" x14ac:dyDescent="0.2">
      <c r="B82" s="1"/>
      <c r="G82" s="1"/>
      <c r="J82" s="14"/>
      <c r="L82" s="24"/>
      <c r="M82" s="24"/>
      <c r="P82" s="14"/>
      <c r="AH82" s="94"/>
      <c r="AI82" s="14"/>
    </row>
    <row r="83" spans="2:35" ht="12.75" thickBot="1" x14ac:dyDescent="0.25">
      <c r="B83" s="1"/>
      <c r="G83" s="1"/>
      <c r="J83" s="14"/>
      <c r="L83" s="24"/>
      <c r="M83" s="24"/>
      <c r="P83" s="14"/>
      <c r="AH83" s="94"/>
      <c r="AI83" s="14"/>
    </row>
    <row r="84" spans="2:35" x14ac:dyDescent="0.2">
      <c r="B84" s="243" t="s">
        <v>22</v>
      </c>
      <c r="C84" s="244"/>
      <c r="D84" s="244"/>
      <c r="E84" s="244"/>
      <c r="F84" s="244"/>
      <c r="G84" s="244"/>
      <c r="H84" s="244"/>
      <c r="I84" s="245"/>
      <c r="M84" s="24"/>
      <c r="P84" s="14"/>
      <c r="AH84" s="94"/>
      <c r="AI84" s="14"/>
    </row>
    <row r="85" spans="2:35" x14ac:dyDescent="0.2">
      <c r="B85" s="246" t="s">
        <v>13</v>
      </c>
      <c r="C85" s="247"/>
      <c r="D85" s="247"/>
      <c r="E85" s="247"/>
      <c r="F85" s="247"/>
      <c r="G85" s="247"/>
      <c r="H85" s="247"/>
      <c r="I85" s="248"/>
      <c r="M85" s="24"/>
      <c r="P85" s="14"/>
      <c r="AH85" s="94"/>
      <c r="AI85" s="14"/>
    </row>
    <row r="86" spans="2:35" x14ac:dyDescent="0.2">
      <c r="B86" s="246" t="s">
        <v>91</v>
      </c>
      <c r="C86" s="247"/>
      <c r="D86" s="247"/>
      <c r="E86" s="247"/>
      <c r="F86" s="247"/>
      <c r="G86" s="247"/>
      <c r="H86" s="247"/>
      <c r="I86" s="248"/>
      <c r="M86" s="24"/>
      <c r="P86" s="14"/>
      <c r="AH86" s="94"/>
      <c r="AI86" s="14"/>
    </row>
    <row r="87" spans="2:35" ht="12.75" thickBot="1" x14ac:dyDescent="0.25">
      <c r="B87" s="249" t="s">
        <v>260</v>
      </c>
      <c r="C87" s="250"/>
      <c r="D87" s="250"/>
      <c r="E87" s="250"/>
      <c r="F87" s="250"/>
      <c r="G87" s="250"/>
      <c r="H87" s="250"/>
      <c r="I87" s="251"/>
      <c r="M87" s="24"/>
      <c r="P87" s="14"/>
      <c r="AH87" s="94"/>
      <c r="AI87" s="14"/>
    </row>
    <row r="88" spans="2:35" ht="31.5" customHeight="1" thickBot="1" x14ac:dyDescent="0.25">
      <c r="B88" s="30"/>
      <c r="C88" s="56" t="s">
        <v>0</v>
      </c>
      <c r="D88" s="56" t="s">
        <v>23</v>
      </c>
      <c r="E88" s="56" t="s">
        <v>89</v>
      </c>
      <c r="F88" s="56" t="s">
        <v>90</v>
      </c>
      <c r="G88" s="56" t="s">
        <v>24</v>
      </c>
      <c r="H88" s="166" t="s">
        <v>138</v>
      </c>
      <c r="I88" s="57" t="s">
        <v>269</v>
      </c>
      <c r="M88" s="24"/>
      <c r="P88" s="14"/>
      <c r="AH88" s="94"/>
      <c r="AI88" s="14"/>
    </row>
    <row r="89" spans="2:35" ht="15" customHeight="1" x14ac:dyDescent="0.2">
      <c r="B89" s="61" t="s">
        <v>256</v>
      </c>
      <c r="C89" s="145" t="s">
        <v>257</v>
      </c>
      <c r="D89" s="62">
        <v>79057608517</v>
      </c>
      <c r="E89" s="109">
        <v>0</v>
      </c>
      <c r="F89" s="116">
        <v>0</v>
      </c>
      <c r="G89" s="96">
        <f>+E89+D89</f>
        <v>79057608517</v>
      </c>
      <c r="H89" s="167">
        <v>0</v>
      </c>
      <c r="I89" s="165">
        <f>+H89/G89</f>
        <v>0</v>
      </c>
      <c r="M89" s="24"/>
      <c r="P89" s="14"/>
      <c r="AH89" s="94"/>
      <c r="AI89" s="14"/>
    </row>
    <row r="90" spans="2:35" ht="15" customHeight="1" thickBot="1" x14ac:dyDescent="0.25">
      <c r="B90" s="78"/>
      <c r="C90" s="79" t="s">
        <v>258</v>
      </c>
      <c r="D90" s="146">
        <f>+D89</f>
        <v>79057608517</v>
      </c>
      <c r="E90" s="146">
        <f t="shared" ref="E90:G90" si="27">+E89</f>
        <v>0</v>
      </c>
      <c r="F90" s="146">
        <f t="shared" si="27"/>
        <v>0</v>
      </c>
      <c r="G90" s="146">
        <f t="shared" si="27"/>
        <v>79057608517</v>
      </c>
      <c r="H90" s="146">
        <f t="shared" ref="H90" si="28">+H89</f>
        <v>0</v>
      </c>
      <c r="I90" s="164">
        <f>+H90/G90</f>
        <v>0</v>
      </c>
      <c r="M90" s="24"/>
      <c r="P90" s="14"/>
      <c r="AH90" s="94"/>
      <c r="AI90" s="14"/>
    </row>
    <row r="91" spans="2:35" x14ac:dyDescent="0.2">
      <c r="B91" s="1"/>
      <c r="G91" s="1"/>
      <c r="M91" s="24"/>
      <c r="P91" s="14"/>
      <c r="AH91" s="94"/>
      <c r="AI91" s="14"/>
    </row>
    <row r="92" spans="2:35" x14ac:dyDescent="0.2">
      <c r="B92" s="1"/>
      <c r="G92" s="1"/>
      <c r="M92" s="24"/>
      <c r="P92" s="14"/>
      <c r="AH92" s="94"/>
      <c r="AI92" s="14"/>
    </row>
    <row r="93" spans="2:35" x14ac:dyDescent="0.2">
      <c r="B93" s="1"/>
      <c r="G93" s="1"/>
      <c r="M93" s="24"/>
      <c r="P93" s="14"/>
      <c r="AH93" s="94"/>
      <c r="AI93" s="14"/>
    </row>
    <row r="94" spans="2:35" x14ac:dyDescent="0.2">
      <c r="B94" s="1"/>
      <c r="G94" s="1"/>
      <c r="J94" s="14"/>
      <c r="L94" s="24"/>
      <c r="M94" s="24"/>
      <c r="P94" s="14"/>
      <c r="AH94" s="94"/>
      <c r="AI94" s="14"/>
    </row>
    <row r="95" spans="2:35" x14ac:dyDescent="0.2">
      <c r="B95" s="1"/>
      <c r="G95" s="1"/>
      <c r="J95" s="14"/>
      <c r="L95" s="24"/>
      <c r="M95" s="24"/>
      <c r="P95" s="14"/>
      <c r="AH95" s="94"/>
      <c r="AI95" s="14"/>
    </row>
    <row r="96" spans="2:35" x14ac:dyDescent="0.2">
      <c r="B96" s="1"/>
      <c r="G96" s="1"/>
      <c r="J96" s="14"/>
      <c r="L96" s="24"/>
      <c r="M96" s="24"/>
      <c r="P96" s="14"/>
      <c r="AH96" s="94"/>
      <c r="AI96" s="14"/>
    </row>
    <row r="97" spans="2:35" x14ac:dyDescent="0.2">
      <c r="B97" s="1"/>
      <c r="G97" s="1"/>
      <c r="J97" s="14"/>
      <c r="L97" s="24"/>
      <c r="M97" s="24"/>
      <c r="P97" s="14"/>
      <c r="AH97" s="94"/>
      <c r="AI97" s="14"/>
    </row>
    <row r="98" spans="2:35" x14ac:dyDescent="0.2">
      <c r="B98" s="1"/>
      <c r="G98" s="1"/>
      <c r="J98" s="3"/>
      <c r="AI98" s="14"/>
    </row>
    <row r="99" spans="2:35" x14ac:dyDescent="0.2">
      <c r="B99" s="1"/>
      <c r="G99" s="1"/>
      <c r="J99" s="3"/>
    </row>
    <row r="100" spans="2:35" x14ac:dyDescent="0.2">
      <c r="B100" s="1"/>
      <c r="G100" s="1"/>
      <c r="J100" s="3"/>
    </row>
    <row r="101" spans="2:35" x14ac:dyDescent="0.2">
      <c r="B101" s="1"/>
      <c r="G101" s="1"/>
      <c r="J101" s="3"/>
    </row>
    <row r="102" spans="2:35" x14ac:dyDescent="0.2">
      <c r="B102" s="1"/>
      <c r="G102" s="1"/>
      <c r="AI102" s="14"/>
    </row>
    <row r="103" spans="2:35" x14ac:dyDescent="0.2">
      <c r="B103" s="1"/>
      <c r="G103" s="1"/>
    </row>
    <row r="104" spans="2:35" x14ac:dyDescent="0.2">
      <c r="B104" s="1"/>
      <c r="G104" s="1"/>
    </row>
    <row r="105" spans="2:35" x14ac:dyDescent="0.2">
      <c r="B105" s="1"/>
      <c r="G105" s="1"/>
    </row>
    <row r="106" spans="2:35" x14ac:dyDescent="0.2">
      <c r="B106" s="1"/>
      <c r="G106" s="1"/>
    </row>
    <row r="107" spans="2:35" x14ac:dyDescent="0.2">
      <c r="B107" s="1"/>
      <c r="G107" s="1"/>
    </row>
    <row r="108" spans="2:35" x14ac:dyDescent="0.2">
      <c r="B108" s="1"/>
      <c r="G108" s="1"/>
    </row>
    <row r="109" spans="2:35" x14ac:dyDescent="0.2">
      <c r="B109" s="1"/>
      <c r="G109" s="1"/>
    </row>
    <row r="110" spans="2:35" x14ac:dyDescent="0.2">
      <c r="B110" s="1"/>
      <c r="G110" s="1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</sheetData>
  <mergeCells count="10">
    <mergeCell ref="B84:I84"/>
    <mergeCell ref="B85:I85"/>
    <mergeCell ref="B86:I86"/>
    <mergeCell ref="B87:I87"/>
    <mergeCell ref="B77:I77"/>
    <mergeCell ref="B1:I1"/>
    <mergeCell ref="B2:I2"/>
    <mergeCell ref="B3:I3"/>
    <mergeCell ref="B4:I4"/>
    <mergeCell ref="B5:I5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0"/>
  <sheetViews>
    <sheetView topLeftCell="A84" zoomScaleNormal="100" workbookViewId="0">
      <selection activeCell="I94" sqref="B1:I94"/>
    </sheetView>
  </sheetViews>
  <sheetFormatPr baseColWidth="10" defaultColWidth="11.42578125" defaultRowHeight="12" x14ac:dyDescent="0.2"/>
  <cols>
    <col min="1" max="1" width="10.5703125" style="1" customWidth="1"/>
    <col min="2" max="2" width="19.140625" style="17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4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203" customWidth="1"/>
    <col min="15" max="15" width="15.28515625" style="202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202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 x14ac:dyDescent="0.25">
      <c r="B1" s="240" t="s">
        <v>21</v>
      </c>
      <c r="C1" s="241"/>
      <c r="D1" s="241"/>
      <c r="E1" s="241"/>
      <c r="F1" s="241"/>
      <c r="G1" s="241"/>
      <c r="H1" s="241"/>
      <c r="I1" s="242"/>
    </row>
    <row r="2" spans="1:36" x14ac:dyDescent="0.2">
      <c r="B2" s="243" t="s">
        <v>22</v>
      </c>
      <c r="C2" s="244"/>
      <c r="D2" s="244"/>
      <c r="E2" s="244"/>
      <c r="F2" s="244"/>
      <c r="G2" s="244"/>
      <c r="H2" s="244"/>
      <c r="I2" s="245"/>
      <c r="J2" s="180"/>
      <c r="K2" s="180"/>
      <c r="L2" s="180"/>
    </row>
    <row r="3" spans="1:36" x14ac:dyDescent="0.2">
      <c r="B3" s="246" t="s">
        <v>13</v>
      </c>
      <c r="C3" s="247"/>
      <c r="D3" s="247"/>
      <c r="E3" s="247"/>
      <c r="F3" s="247"/>
      <c r="G3" s="247"/>
      <c r="H3" s="247"/>
      <c r="I3" s="248"/>
      <c r="J3" s="180"/>
      <c r="K3" s="180"/>
      <c r="L3" s="180"/>
    </row>
    <row r="4" spans="1:36" x14ac:dyDescent="0.2">
      <c r="B4" s="246" t="s">
        <v>91</v>
      </c>
      <c r="C4" s="247"/>
      <c r="D4" s="247"/>
      <c r="E4" s="247"/>
      <c r="F4" s="247"/>
      <c r="G4" s="247"/>
      <c r="H4" s="247"/>
      <c r="I4" s="248"/>
      <c r="J4" s="180"/>
      <c r="K4" s="180"/>
      <c r="L4" s="180"/>
    </row>
    <row r="5" spans="1:36" ht="12.75" thickBot="1" x14ac:dyDescent="0.25">
      <c r="B5" s="249" t="s">
        <v>310</v>
      </c>
      <c r="C5" s="250"/>
      <c r="D5" s="250"/>
      <c r="E5" s="250"/>
      <c r="F5" s="250"/>
      <c r="G5" s="250"/>
      <c r="H5" s="250"/>
      <c r="I5" s="251"/>
    </row>
    <row r="6" spans="1:36" ht="49.9" customHeight="1" thickBot="1" x14ac:dyDescent="0.25">
      <c r="B6" s="30"/>
      <c r="C6" s="56" t="s">
        <v>0</v>
      </c>
      <c r="D6" s="56" t="s">
        <v>23</v>
      </c>
      <c r="E6" s="56" t="s">
        <v>89</v>
      </c>
      <c r="F6" s="56" t="s">
        <v>90</v>
      </c>
      <c r="G6" s="56" t="s">
        <v>24</v>
      </c>
      <c r="H6" s="57" t="s">
        <v>311</v>
      </c>
      <c r="I6" s="57" t="s">
        <v>269</v>
      </c>
    </row>
    <row r="7" spans="1:36" ht="16.5" customHeight="1" x14ac:dyDescent="0.2">
      <c r="B7" s="128">
        <v>1</v>
      </c>
      <c r="C7" s="129" t="s">
        <v>140</v>
      </c>
      <c r="D7" s="204">
        <f>+D8+D66</f>
        <v>49475995389</v>
      </c>
      <c r="E7" s="204">
        <f>+E8+E66</f>
        <v>12118254500</v>
      </c>
      <c r="F7" s="204">
        <f>+F8+F66</f>
        <v>0</v>
      </c>
      <c r="G7" s="204">
        <f>+G8+G66</f>
        <v>61594249889</v>
      </c>
      <c r="H7" s="204">
        <f>+H8+H66</f>
        <v>41278092958</v>
      </c>
      <c r="I7" s="205">
        <f>+H7/G7</f>
        <v>0.67016146851999858</v>
      </c>
      <c r="J7" s="209"/>
      <c r="T7" s="14"/>
      <c r="AH7" s="82"/>
      <c r="AI7" s="14"/>
    </row>
    <row r="8" spans="1:36" ht="16.5" customHeight="1" x14ac:dyDescent="0.2">
      <c r="B8" s="120" t="s">
        <v>141</v>
      </c>
      <c r="C8" s="121" t="s">
        <v>142</v>
      </c>
      <c r="D8" s="206">
        <f>+D9+D21</f>
        <v>48967528819</v>
      </c>
      <c r="E8" s="206">
        <f>+E9+E21</f>
        <v>12118254500</v>
      </c>
      <c r="F8" s="206">
        <f>+F9+F21</f>
        <v>0</v>
      </c>
      <c r="G8" s="206">
        <f>+G9+G21</f>
        <v>61085783319</v>
      </c>
      <c r="H8" s="206">
        <f>+H9+H21</f>
        <v>40928534179</v>
      </c>
      <c r="I8" s="207">
        <f>+H8/G8</f>
        <v>0.67001734209193109</v>
      </c>
      <c r="J8" s="209"/>
      <c r="AH8" s="82"/>
    </row>
    <row r="9" spans="1:36" ht="16.5" customHeight="1" x14ac:dyDescent="0.2">
      <c r="B9" s="125" t="s">
        <v>143</v>
      </c>
      <c r="C9" s="126" t="s">
        <v>144</v>
      </c>
      <c r="D9" s="174">
        <f t="shared" ref="D9:H10" si="0">+D10</f>
        <v>24648429899</v>
      </c>
      <c r="E9" s="174">
        <f t="shared" si="0"/>
        <v>4510822893</v>
      </c>
      <c r="F9" s="174">
        <f t="shared" si="0"/>
        <v>0</v>
      </c>
      <c r="G9" s="174">
        <f t="shared" si="0"/>
        <v>29159252792</v>
      </c>
      <c r="H9" s="174">
        <f t="shared" si="0"/>
        <v>20031697755</v>
      </c>
      <c r="I9" s="208">
        <f t="shared" ref="I9:I20" si="1">+H9/G9</f>
        <v>0.68697568822805377</v>
      </c>
      <c r="J9" s="209"/>
      <c r="AH9" s="133"/>
      <c r="AI9" s="14"/>
    </row>
    <row r="10" spans="1:36" ht="16.5" customHeight="1" x14ac:dyDescent="0.2">
      <c r="B10" s="61" t="s">
        <v>145</v>
      </c>
      <c r="C10" s="59" t="s">
        <v>146</v>
      </c>
      <c r="D10" s="174">
        <f t="shared" si="0"/>
        <v>24648429899</v>
      </c>
      <c r="E10" s="174">
        <f t="shared" si="0"/>
        <v>4510822893</v>
      </c>
      <c r="F10" s="174">
        <f t="shared" si="0"/>
        <v>0</v>
      </c>
      <c r="G10" s="174">
        <f t="shared" si="0"/>
        <v>29159252792</v>
      </c>
      <c r="H10" s="174">
        <f t="shared" si="0"/>
        <v>20031697755</v>
      </c>
      <c r="I10" s="208">
        <f t="shared" si="1"/>
        <v>0.68697568822805377</v>
      </c>
      <c r="J10" s="209"/>
      <c r="AF10" s="202">
        <f t="shared" ref="AF10:AF23" si="2">+G10-I10</f>
        <v>29159252791.313023</v>
      </c>
      <c r="AG10" s="1">
        <v>5879292</v>
      </c>
      <c r="AH10" s="134"/>
      <c r="AI10" s="104"/>
      <c r="AJ10" s="15"/>
    </row>
    <row r="11" spans="1:36" ht="16.5" customHeight="1" x14ac:dyDescent="0.2">
      <c r="B11" s="61" t="s">
        <v>147</v>
      </c>
      <c r="C11" s="59" t="s">
        <v>148</v>
      </c>
      <c r="D11" s="174">
        <f>+D12+D17</f>
        <v>24648429899</v>
      </c>
      <c r="E11" s="174">
        <f>+E12+E17</f>
        <v>4510822893</v>
      </c>
      <c r="F11" s="174">
        <f>+F12+F17</f>
        <v>0</v>
      </c>
      <c r="G11" s="174">
        <f>+G12+G17</f>
        <v>29159252792</v>
      </c>
      <c r="H11" s="174">
        <f>+H12+H17</f>
        <v>20031697755</v>
      </c>
      <c r="I11" s="208">
        <f t="shared" si="1"/>
        <v>0.68697568822805377</v>
      </c>
      <c r="J11" s="209"/>
      <c r="AF11" s="202">
        <f t="shared" si="2"/>
        <v>29159252791.313023</v>
      </c>
      <c r="AH11" s="83"/>
    </row>
    <row r="12" spans="1:36" ht="16.5" customHeight="1" x14ac:dyDescent="0.2">
      <c r="B12" s="120" t="s">
        <v>149</v>
      </c>
      <c r="C12" s="121" t="s">
        <v>150</v>
      </c>
      <c r="D12" s="206">
        <f>SUM(D13:D16)</f>
        <v>22385107673</v>
      </c>
      <c r="E12" s="206">
        <f>SUM(E13:E16)</f>
        <v>4510822893</v>
      </c>
      <c r="F12" s="206">
        <f>SUM(F13:F16)</f>
        <v>0</v>
      </c>
      <c r="G12" s="206">
        <f>SUM(G13:G16)</f>
        <v>26895930566</v>
      </c>
      <c r="H12" s="206">
        <f>SUM(H13:H16)</f>
        <v>20016433556</v>
      </c>
      <c r="I12" s="207">
        <f t="shared" si="1"/>
        <v>0.744217921996847</v>
      </c>
      <c r="J12" s="209"/>
      <c r="AF12" s="202">
        <f>+G12-I12</f>
        <v>26895930565.255783</v>
      </c>
      <c r="AH12" s="134"/>
      <c r="AI12" s="15"/>
    </row>
    <row r="13" spans="1:36" ht="16.5" customHeight="1" x14ac:dyDescent="0.2">
      <c r="A13" s="144"/>
      <c r="B13" s="143" t="s">
        <v>206</v>
      </c>
      <c r="C13" s="137" t="s">
        <v>207</v>
      </c>
      <c r="D13" s="174">
        <f>20236148826+52026425</f>
        <v>20288175251</v>
      </c>
      <c r="E13" s="174"/>
      <c r="F13" s="174"/>
      <c r="G13" s="174">
        <f t="shared" ref="G13:G20" si="3">+D13+E13-F13</f>
        <v>20288175251</v>
      </c>
      <c r="H13" s="174">
        <v>13932317913</v>
      </c>
      <c r="I13" s="208">
        <f t="shared" si="1"/>
        <v>0.6867210944618235</v>
      </c>
      <c r="J13" s="209"/>
      <c r="AH13" s="134"/>
      <c r="AI13" s="15"/>
    </row>
    <row r="14" spans="1:36" ht="16.5" customHeight="1" x14ac:dyDescent="0.2">
      <c r="A14" s="144"/>
      <c r="B14" s="143" t="s">
        <v>208</v>
      </c>
      <c r="C14" s="137" t="s">
        <v>209</v>
      </c>
      <c r="D14" s="174">
        <f>2101306423-57026425</f>
        <v>2044279998</v>
      </c>
      <c r="E14" s="174">
        <f>4460417758+50405135</f>
        <v>4510822893</v>
      </c>
      <c r="F14" s="174"/>
      <c r="G14" s="174">
        <f t="shared" si="3"/>
        <v>6555102891</v>
      </c>
      <c r="H14" s="174">
        <f>1392793131+4460417758+50405135+128004979</f>
        <v>6031621003</v>
      </c>
      <c r="I14" s="208">
        <f t="shared" si="1"/>
        <v>0.92014131636000285</v>
      </c>
      <c r="J14" s="209"/>
      <c r="AH14" s="134"/>
      <c r="AI14" s="15"/>
    </row>
    <row r="15" spans="1:36" ht="16.5" customHeight="1" x14ac:dyDescent="0.2">
      <c r="A15" s="144"/>
      <c r="B15" s="143" t="s">
        <v>210</v>
      </c>
      <c r="C15" s="45" t="s">
        <v>211</v>
      </c>
      <c r="D15" s="174">
        <v>25276212</v>
      </c>
      <c r="E15" s="174"/>
      <c r="F15" s="174"/>
      <c r="G15" s="174">
        <f t="shared" si="3"/>
        <v>25276212</v>
      </c>
      <c r="H15" s="174">
        <f>26753958+12599</f>
        <v>26766557</v>
      </c>
      <c r="I15" s="208">
        <f t="shared" si="1"/>
        <v>1.0589623555934726</v>
      </c>
      <c r="J15" s="209"/>
      <c r="M15" s="14"/>
      <c r="AH15" s="134"/>
      <c r="AI15" s="15"/>
    </row>
    <row r="16" spans="1:36" ht="16.5" customHeight="1" x14ac:dyDescent="0.2">
      <c r="A16" s="144"/>
      <c r="B16" s="143" t="s">
        <v>212</v>
      </c>
      <c r="C16" s="45" t="s">
        <v>213</v>
      </c>
      <c r="D16" s="174">
        <f>27376212</f>
        <v>27376212</v>
      </c>
      <c r="E16" s="174"/>
      <c r="F16" s="174"/>
      <c r="G16" s="174">
        <f t="shared" si="3"/>
        <v>27376212</v>
      </c>
      <c r="H16" s="174">
        <v>25728083</v>
      </c>
      <c r="I16" s="208">
        <f t="shared" si="1"/>
        <v>0.93979703985343188</v>
      </c>
      <c r="J16" s="209"/>
      <c r="M16" s="104"/>
      <c r="N16" s="237"/>
      <c r="AH16" s="134"/>
      <c r="AI16" s="15"/>
    </row>
    <row r="17" spans="1:35" ht="16.5" customHeight="1" x14ac:dyDescent="0.2">
      <c r="B17" s="58" t="s">
        <v>151</v>
      </c>
      <c r="C17" s="63" t="s">
        <v>152</v>
      </c>
      <c r="D17" s="206">
        <f>SUM(D18:D20)</f>
        <v>2263322226</v>
      </c>
      <c r="E17" s="206"/>
      <c r="F17" s="206"/>
      <c r="G17" s="206">
        <f>SUM(G18:G20)</f>
        <v>2263322226</v>
      </c>
      <c r="H17" s="206">
        <f>SUM(H18:H20)</f>
        <v>15264199</v>
      </c>
      <c r="I17" s="207">
        <f t="shared" si="1"/>
        <v>6.7441563665358532E-3</v>
      </c>
      <c r="J17" s="209"/>
      <c r="AF17" s="202">
        <f>+G17-I17</f>
        <v>2263322225.9932556</v>
      </c>
      <c r="AH17" s="135"/>
      <c r="AI17" s="14"/>
    </row>
    <row r="18" spans="1:35" ht="16.5" customHeight="1" x14ac:dyDescent="0.2">
      <c r="A18" s="144"/>
      <c r="B18" s="143" t="s">
        <v>214</v>
      </c>
      <c r="C18" s="137" t="s">
        <v>215</v>
      </c>
      <c r="D18" s="174">
        <v>2263322226</v>
      </c>
      <c r="E18" s="210"/>
      <c r="F18" s="210"/>
      <c r="G18" s="174">
        <f t="shared" si="3"/>
        <v>2263322226</v>
      </c>
      <c r="H18" s="174">
        <v>15264199</v>
      </c>
      <c r="I18" s="207">
        <f t="shared" si="1"/>
        <v>6.7441563665358532E-3</v>
      </c>
      <c r="J18" s="209"/>
      <c r="AH18" s="135"/>
      <c r="AI18" s="14"/>
    </row>
    <row r="19" spans="1:35" ht="16.5" customHeight="1" x14ac:dyDescent="0.2">
      <c r="A19" s="144"/>
      <c r="B19" s="143" t="s">
        <v>216</v>
      </c>
      <c r="C19" s="137" t="s">
        <v>217</v>
      </c>
      <c r="D19" s="174">
        <v>0</v>
      </c>
      <c r="E19" s="210"/>
      <c r="F19" s="210"/>
      <c r="G19" s="174">
        <f t="shared" si="3"/>
        <v>0</v>
      </c>
      <c r="H19" s="206"/>
      <c r="I19" s="207" t="e">
        <f t="shared" si="1"/>
        <v>#DIV/0!</v>
      </c>
      <c r="J19" s="209"/>
      <c r="AH19" s="135"/>
      <c r="AI19" s="14"/>
    </row>
    <row r="20" spans="1:35" ht="16.5" customHeight="1" x14ac:dyDescent="0.2">
      <c r="A20" s="144"/>
      <c r="B20" s="143" t="s">
        <v>218</v>
      </c>
      <c r="C20" s="137" t="s">
        <v>219</v>
      </c>
      <c r="D20" s="174">
        <v>0</v>
      </c>
      <c r="E20" s="210"/>
      <c r="F20" s="210"/>
      <c r="G20" s="174">
        <f t="shared" si="3"/>
        <v>0</v>
      </c>
      <c r="H20" s="206"/>
      <c r="I20" s="207" t="e">
        <f t="shared" si="1"/>
        <v>#DIV/0!</v>
      </c>
      <c r="J20" s="209"/>
      <c r="AH20" s="135"/>
      <c r="AI20" s="14"/>
    </row>
    <row r="21" spans="1:35" ht="16.5" customHeight="1" x14ac:dyDescent="0.2">
      <c r="B21" s="61" t="s">
        <v>153</v>
      </c>
      <c r="C21" s="59" t="s">
        <v>154</v>
      </c>
      <c r="D21" s="69">
        <f>+D22+D28+D51+D54</f>
        <v>24319098920</v>
      </c>
      <c r="E21" s="69">
        <f t="shared" ref="E21:F21" si="4">+E22+E28+E51+E54</f>
        <v>7607431607</v>
      </c>
      <c r="F21" s="69">
        <f t="shared" si="4"/>
        <v>0</v>
      </c>
      <c r="G21" s="212">
        <f>+E21+D21</f>
        <v>31926530527</v>
      </c>
      <c r="H21" s="96">
        <f>+H22+H28+H51+H54</f>
        <v>20896836424</v>
      </c>
      <c r="I21" s="207">
        <f>+H21/G21</f>
        <v>0.65452888488236205</v>
      </c>
      <c r="J21" s="209"/>
      <c r="AF21" s="202" t="e">
        <f>+G21-#REF!</f>
        <v>#REF!</v>
      </c>
      <c r="AH21" s="136"/>
      <c r="AI21" s="14"/>
    </row>
    <row r="22" spans="1:35" ht="16.5" customHeight="1" x14ac:dyDescent="0.2">
      <c r="B22" s="61" t="s">
        <v>155</v>
      </c>
      <c r="C22" s="59" t="s">
        <v>129</v>
      </c>
      <c r="D22" s="174">
        <f>+D23</f>
        <v>648435007</v>
      </c>
      <c r="E22" s="210">
        <f>+E23</f>
        <v>1104088910</v>
      </c>
      <c r="F22" s="210">
        <f>+F23</f>
        <v>0</v>
      </c>
      <c r="G22" s="213">
        <f>+G23</f>
        <v>1752523917</v>
      </c>
      <c r="H22" s="174">
        <f>+H23</f>
        <v>1593071233</v>
      </c>
      <c r="I22" s="208">
        <f t="shared" ref="I22:I77" si="5">+H22/G22</f>
        <v>0.90901540204201392</v>
      </c>
      <c r="J22" s="209"/>
      <c r="AF22" s="202">
        <f t="shared" si="2"/>
        <v>1752523916.0909846</v>
      </c>
      <c r="AH22" s="82"/>
      <c r="AI22" s="14"/>
    </row>
    <row r="23" spans="1:35" s="2" customFormat="1" ht="16.5" customHeight="1" x14ac:dyDescent="0.2">
      <c r="B23" s="61" t="s">
        <v>156</v>
      </c>
      <c r="C23" s="59" t="s">
        <v>157</v>
      </c>
      <c r="D23" s="69">
        <f>+D24</f>
        <v>648435007</v>
      </c>
      <c r="E23" s="69">
        <f t="shared" ref="D23:F24" si="6">+E24</f>
        <v>1104088910</v>
      </c>
      <c r="F23" s="69">
        <f t="shared" si="6"/>
        <v>0</v>
      </c>
      <c r="G23" s="173">
        <f>+G24</f>
        <v>1752523917</v>
      </c>
      <c r="H23" s="96">
        <f>+H24</f>
        <v>1593071233</v>
      </c>
      <c r="I23" s="208">
        <f t="shared" si="5"/>
        <v>0.90901540204201392</v>
      </c>
      <c r="J23" s="209"/>
      <c r="K23" s="1"/>
      <c r="L23" s="1"/>
      <c r="N23" s="214"/>
      <c r="O23" s="215"/>
      <c r="AF23" s="202">
        <f t="shared" si="2"/>
        <v>1752523916.0909846</v>
      </c>
      <c r="AH23" s="132"/>
    </row>
    <row r="24" spans="1:35" ht="16.5" customHeight="1" x14ac:dyDescent="0.2">
      <c r="B24" s="61" t="s">
        <v>158</v>
      </c>
      <c r="C24" s="84" t="s">
        <v>159</v>
      </c>
      <c r="D24" s="69">
        <f t="shared" si="6"/>
        <v>648435007</v>
      </c>
      <c r="E24" s="69">
        <f t="shared" si="6"/>
        <v>1104088910</v>
      </c>
      <c r="F24" s="69">
        <f t="shared" si="6"/>
        <v>0</v>
      </c>
      <c r="G24" s="212">
        <f>+E24+D24</f>
        <v>1752523917</v>
      </c>
      <c r="H24" s="96">
        <f>+H25</f>
        <v>1593071233</v>
      </c>
      <c r="I24" s="208">
        <f t="shared" si="5"/>
        <v>0.90901540204201392</v>
      </c>
      <c r="J24" s="209"/>
      <c r="AH24" s="82"/>
    </row>
    <row r="25" spans="1:35" ht="16.5" customHeight="1" x14ac:dyDescent="0.2">
      <c r="B25" s="58" t="s">
        <v>160</v>
      </c>
      <c r="C25" s="138" t="s">
        <v>161</v>
      </c>
      <c r="D25" s="139">
        <f>SUM(D26:D27)</f>
        <v>648435007</v>
      </c>
      <c r="E25" s="139">
        <f>SUM(E26:E27)</f>
        <v>1104088910</v>
      </c>
      <c r="F25" s="140">
        <v>0</v>
      </c>
      <c r="G25" s="139">
        <f>SUM(G26:G27)</f>
        <v>1752523917</v>
      </c>
      <c r="H25" s="216">
        <f>SUM(H26:H27)</f>
        <v>1593071233</v>
      </c>
      <c r="I25" s="207">
        <f t="shared" si="5"/>
        <v>0.90901540204201392</v>
      </c>
      <c r="J25" s="209"/>
      <c r="AH25" s="82"/>
    </row>
    <row r="26" spans="1:35" ht="16.5" customHeight="1" x14ac:dyDescent="0.2">
      <c r="B26" s="61" t="s">
        <v>300</v>
      </c>
      <c r="C26" s="84" t="s">
        <v>301</v>
      </c>
      <c r="D26" s="69">
        <v>648435007</v>
      </c>
      <c r="E26" s="69"/>
      <c r="F26" s="173">
        <v>0</v>
      </c>
      <c r="G26" s="174">
        <f>+D26+E26-F26</f>
        <v>648435007</v>
      </c>
      <c r="H26" s="96">
        <v>488982323</v>
      </c>
      <c r="I26" s="208">
        <f t="shared" si="5"/>
        <v>0.75409612022998007</v>
      </c>
      <c r="J26" s="209"/>
      <c r="AH26" s="82"/>
    </row>
    <row r="27" spans="1:35" ht="16.5" customHeight="1" x14ac:dyDescent="0.2">
      <c r="B27" s="61" t="s">
        <v>302</v>
      </c>
      <c r="C27" s="84" t="s">
        <v>303</v>
      </c>
      <c r="D27" s="69"/>
      <c r="E27" s="96">
        <v>1104088910</v>
      </c>
      <c r="F27" s="173">
        <v>0</v>
      </c>
      <c r="G27" s="174">
        <f>+D27+E27-F27</f>
        <v>1104088910</v>
      </c>
      <c r="H27" s="96">
        <v>1104088910</v>
      </c>
      <c r="I27" s="208">
        <f t="shared" si="5"/>
        <v>1</v>
      </c>
      <c r="J27" s="209"/>
      <c r="AH27" s="82"/>
    </row>
    <row r="28" spans="1:35" ht="16.5" customHeight="1" x14ac:dyDescent="0.2">
      <c r="B28" s="110" t="s">
        <v>162</v>
      </c>
      <c r="C28" s="84" t="s">
        <v>163</v>
      </c>
      <c r="D28" s="96">
        <f>+D29+D30+D34+D39+D44+D48</f>
        <v>23039833612</v>
      </c>
      <c r="E28" s="96">
        <f>+E29+E30+E34+E39+E44+E48</f>
        <v>3920672887</v>
      </c>
      <c r="F28" s="96">
        <f t="shared" ref="F28:G28" si="7">+F29+F30+F34+F39+F44+F48</f>
        <v>0</v>
      </c>
      <c r="G28" s="96">
        <f t="shared" si="7"/>
        <v>26960506499</v>
      </c>
      <c r="H28" s="96">
        <f>+H29+H30+H34+H39+H44+H48</f>
        <v>16236995359</v>
      </c>
      <c r="I28" s="208">
        <f t="shared" si="5"/>
        <v>0.60225112460710817</v>
      </c>
      <c r="J28" s="209"/>
      <c r="AH28" s="82"/>
    </row>
    <row r="29" spans="1:35" ht="16.5" customHeight="1" x14ac:dyDescent="0.2">
      <c r="B29" s="58" t="s">
        <v>164</v>
      </c>
      <c r="C29" s="63" t="s">
        <v>165</v>
      </c>
      <c r="D29" s="206">
        <v>543450399</v>
      </c>
      <c r="E29" s="211"/>
      <c r="F29" s="211"/>
      <c r="G29" s="206">
        <f t="shared" ref="G29:G50" si="8">+D29+E29-F29</f>
        <v>543450399</v>
      </c>
      <c r="H29" s="149">
        <v>665951745</v>
      </c>
      <c r="I29" s="207">
        <f t="shared" si="5"/>
        <v>1.2254140326797331</v>
      </c>
      <c r="J29" s="209"/>
      <c r="AF29" s="202">
        <f t="shared" ref="AF29:AF70" si="9">+G29-I29</f>
        <v>543450397.77458596</v>
      </c>
      <c r="AH29" s="14"/>
      <c r="AI29" s="14"/>
    </row>
    <row r="30" spans="1:35" ht="16.5" customHeight="1" x14ac:dyDescent="0.2">
      <c r="B30" s="58" t="s">
        <v>166</v>
      </c>
      <c r="C30" s="63" t="s">
        <v>167</v>
      </c>
      <c r="D30" s="139">
        <f>SUM(D31:D33)</f>
        <v>58233245</v>
      </c>
      <c r="E30" s="139">
        <f t="shared" ref="E30:H30" si="10">SUM(E31:E33)</f>
        <v>0</v>
      </c>
      <c r="F30" s="139">
        <f t="shared" si="10"/>
        <v>0</v>
      </c>
      <c r="G30" s="139">
        <f t="shared" si="10"/>
        <v>58233245</v>
      </c>
      <c r="H30" s="216">
        <f t="shared" si="10"/>
        <v>31090600</v>
      </c>
      <c r="I30" s="207">
        <f t="shared" si="5"/>
        <v>0.53389777608992939</v>
      </c>
      <c r="J30" s="209"/>
      <c r="AF30" s="202">
        <f t="shared" si="9"/>
        <v>58233244.466102228</v>
      </c>
      <c r="AH30" s="83"/>
    </row>
    <row r="31" spans="1:35" ht="16.5" customHeight="1" x14ac:dyDescent="0.2">
      <c r="B31" s="61" t="s">
        <v>220</v>
      </c>
      <c r="C31" s="59" t="s">
        <v>221</v>
      </c>
      <c r="D31" s="96">
        <v>33294148</v>
      </c>
      <c r="E31" s="69"/>
      <c r="F31" s="173"/>
      <c r="G31" s="174">
        <f t="shared" si="8"/>
        <v>33294148</v>
      </c>
      <c r="H31" s="150">
        <v>10300647</v>
      </c>
      <c r="I31" s="208">
        <f t="shared" si="5"/>
        <v>0.30938310840691885</v>
      </c>
      <c r="J31" s="209"/>
      <c r="AH31" s="2"/>
    </row>
    <row r="32" spans="1:35" ht="16.5" customHeight="1" x14ac:dyDescent="0.2">
      <c r="B32" s="61" t="s">
        <v>222</v>
      </c>
      <c r="C32" s="59" t="s">
        <v>223</v>
      </c>
      <c r="D32" s="69">
        <v>23939097</v>
      </c>
      <c r="E32" s="69"/>
      <c r="F32" s="173"/>
      <c r="G32" s="174">
        <f t="shared" si="8"/>
        <v>23939097</v>
      </c>
      <c r="H32" s="150">
        <v>17062801</v>
      </c>
      <c r="I32" s="208">
        <f t="shared" si="5"/>
        <v>0.71275875610512796</v>
      </c>
      <c r="J32" s="209"/>
      <c r="AH32" s="2"/>
    </row>
    <row r="33" spans="2:35" ht="16.5" customHeight="1" x14ac:dyDescent="0.2">
      <c r="B33" s="61" t="s">
        <v>224</v>
      </c>
      <c r="C33" s="59" t="s">
        <v>225</v>
      </c>
      <c r="D33" s="69">
        <v>1000000</v>
      </c>
      <c r="E33" s="69"/>
      <c r="F33" s="173"/>
      <c r="G33" s="174">
        <f t="shared" si="8"/>
        <v>1000000</v>
      </c>
      <c r="H33" s="150">
        <v>3727152</v>
      </c>
      <c r="I33" s="208">
        <f t="shared" si="5"/>
        <v>3.7271519999999998</v>
      </c>
      <c r="J33" s="209"/>
      <c r="AH33" s="2"/>
    </row>
    <row r="34" spans="2:35" ht="16.5" customHeight="1" x14ac:dyDescent="0.2">
      <c r="B34" s="58" t="s">
        <v>168</v>
      </c>
      <c r="C34" s="63" t="s">
        <v>169</v>
      </c>
      <c r="D34" s="139">
        <f>SUM(D35:D38)</f>
        <v>2511588858</v>
      </c>
      <c r="E34" s="139">
        <f t="shared" ref="E34:G34" si="11">SUM(E35:E38)</f>
        <v>3448265614</v>
      </c>
      <c r="F34" s="139">
        <f t="shared" si="11"/>
        <v>0</v>
      </c>
      <c r="G34" s="139">
        <f t="shared" si="11"/>
        <v>5959854472</v>
      </c>
      <c r="H34" s="216">
        <f>SUM(H35:H38)</f>
        <v>4606157647</v>
      </c>
      <c r="I34" s="207">
        <f t="shared" si="5"/>
        <v>0.77286411415583978</v>
      </c>
      <c r="J34" s="209"/>
      <c r="AF34" s="202">
        <f t="shared" si="9"/>
        <v>5959854471.2271357</v>
      </c>
      <c r="AH34" s="83"/>
    </row>
    <row r="35" spans="2:35" ht="16.5" customHeight="1" x14ac:dyDescent="0.2">
      <c r="B35" s="61" t="s">
        <v>226</v>
      </c>
      <c r="C35" s="59" t="s">
        <v>227</v>
      </c>
      <c r="D35" s="69">
        <v>1548924400</v>
      </c>
      <c r="E35" s="69"/>
      <c r="F35" s="173"/>
      <c r="G35" s="174">
        <f t="shared" si="8"/>
        <v>1548924400</v>
      </c>
      <c r="H35" s="127">
        <v>514570422</v>
      </c>
      <c r="I35" s="208">
        <f t="shared" si="5"/>
        <v>0.33221145073316682</v>
      </c>
      <c r="J35" s="209"/>
      <c r="AH35" s="2"/>
    </row>
    <row r="36" spans="2:35" ht="16.5" customHeight="1" x14ac:dyDescent="0.2">
      <c r="B36" s="61" t="s">
        <v>228</v>
      </c>
      <c r="C36" s="59" t="s">
        <v>229</v>
      </c>
      <c r="D36" s="69">
        <v>937664458</v>
      </c>
      <c r="E36" s="69">
        <v>3448265614</v>
      </c>
      <c r="F36" s="173"/>
      <c r="G36" s="174">
        <f t="shared" si="8"/>
        <v>4385930072</v>
      </c>
      <c r="H36" s="167">
        <f>605477652+3448265614</f>
        <v>4053743266</v>
      </c>
      <c r="I36" s="208">
        <f t="shared" si="5"/>
        <v>0.92426080659135501</v>
      </c>
      <c r="J36" s="209"/>
      <c r="AH36" s="2"/>
    </row>
    <row r="37" spans="2:35" ht="16.5" customHeight="1" x14ac:dyDescent="0.2">
      <c r="B37" s="61" t="s">
        <v>230</v>
      </c>
      <c r="C37" s="59" t="s">
        <v>231</v>
      </c>
      <c r="D37" s="69">
        <v>5000000</v>
      </c>
      <c r="E37" s="69"/>
      <c r="F37" s="173"/>
      <c r="G37" s="174">
        <f t="shared" si="8"/>
        <v>5000000</v>
      </c>
      <c r="H37" s="174">
        <f>394861+48601</f>
        <v>443462</v>
      </c>
      <c r="I37" s="208">
        <f t="shared" si="5"/>
        <v>8.8692400000000005E-2</v>
      </c>
      <c r="J37" s="209"/>
      <c r="AH37" s="2"/>
    </row>
    <row r="38" spans="2:35" ht="16.5" customHeight="1" x14ac:dyDescent="0.2">
      <c r="B38" s="61" t="s">
        <v>232</v>
      </c>
      <c r="C38" s="59" t="s">
        <v>233</v>
      </c>
      <c r="D38" s="69">
        <v>20000000</v>
      </c>
      <c r="E38" s="69"/>
      <c r="F38" s="173"/>
      <c r="G38" s="174">
        <f t="shared" si="8"/>
        <v>20000000</v>
      </c>
      <c r="H38" s="150">
        <v>37400497</v>
      </c>
      <c r="I38" s="208">
        <f t="shared" si="5"/>
        <v>1.8700248500000001</v>
      </c>
      <c r="J38" s="209"/>
      <c r="AH38" s="2"/>
    </row>
    <row r="39" spans="2:35" ht="16.5" customHeight="1" x14ac:dyDescent="0.2">
      <c r="B39" s="58" t="s">
        <v>170</v>
      </c>
      <c r="C39" s="141" t="s">
        <v>171</v>
      </c>
      <c r="D39" s="139">
        <f>SUM(D40:D43)</f>
        <v>6523075537</v>
      </c>
      <c r="E39" s="139">
        <f>SUM(E40:E43)</f>
        <v>432209280</v>
      </c>
      <c r="F39" s="139">
        <f t="shared" ref="F39:G39" si="12">SUM(F40:F43)</f>
        <v>0</v>
      </c>
      <c r="G39" s="139">
        <f t="shared" si="12"/>
        <v>6955284817</v>
      </c>
      <c r="H39" s="216">
        <f>SUM(H40:H43)</f>
        <v>1467492221</v>
      </c>
      <c r="I39" s="207">
        <f t="shared" si="5"/>
        <v>0.21098952230010454</v>
      </c>
      <c r="J39" s="209"/>
      <c r="AF39" s="202">
        <f t="shared" si="9"/>
        <v>6955284816.78901</v>
      </c>
      <c r="AG39" s="3" t="e">
        <f>+AF39+#REF!</f>
        <v>#REF!</v>
      </c>
      <c r="AH39" s="2"/>
    </row>
    <row r="40" spans="2:35" ht="16.5" customHeight="1" x14ac:dyDescent="0.2">
      <c r="B40" s="61" t="s">
        <v>234</v>
      </c>
      <c r="C40" s="68" t="s">
        <v>235</v>
      </c>
      <c r="D40" s="96">
        <v>3279984916</v>
      </c>
      <c r="E40" s="69"/>
      <c r="F40" s="173"/>
      <c r="G40" s="174">
        <f t="shared" si="8"/>
        <v>3279984916</v>
      </c>
      <c r="H40" s="167">
        <v>141133708</v>
      </c>
      <c r="I40" s="208">
        <f t="shared" si="5"/>
        <v>4.3028767392051019E-2</v>
      </c>
      <c r="J40" s="209"/>
      <c r="AG40" s="3"/>
      <c r="AH40" s="2"/>
    </row>
    <row r="41" spans="2:35" ht="16.5" customHeight="1" x14ac:dyDescent="0.2">
      <c r="B41" s="61" t="s">
        <v>236</v>
      </c>
      <c r="C41" s="68" t="s">
        <v>237</v>
      </c>
      <c r="D41" s="96">
        <v>3204090621</v>
      </c>
      <c r="E41" s="69">
        <v>432209280</v>
      </c>
      <c r="F41" s="173"/>
      <c r="G41" s="174">
        <f t="shared" si="8"/>
        <v>3636299901</v>
      </c>
      <c r="H41" s="167">
        <f>872954978+432209280</f>
        <v>1305164258</v>
      </c>
      <c r="I41" s="208">
        <f t="shared" si="5"/>
        <v>0.35892646193485678</v>
      </c>
      <c r="J41" s="209"/>
      <c r="AG41" s="3"/>
      <c r="AH41" s="2"/>
    </row>
    <row r="42" spans="2:35" ht="16.5" customHeight="1" x14ac:dyDescent="0.2">
      <c r="B42" s="61" t="s">
        <v>238</v>
      </c>
      <c r="C42" s="68" t="s">
        <v>239</v>
      </c>
      <c r="D42" s="69">
        <v>9000000</v>
      </c>
      <c r="E42" s="69"/>
      <c r="F42" s="173"/>
      <c r="G42" s="174">
        <f t="shared" si="8"/>
        <v>9000000</v>
      </c>
      <c r="H42" s="174">
        <v>6527355</v>
      </c>
      <c r="I42" s="208">
        <f t="shared" si="5"/>
        <v>0.72526166666666669</v>
      </c>
      <c r="J42" s="209"/>
      <c r="AG42" s="3"/>
      <c r="AH42" s="2"/>
    </row>
    <row r="43" spans="2:35" ht="16.5" customHeight="1" x14ac:dyDescent="0.2">
      <c r="B43" s="61" t="s">
        <v>240</v>
      </c>
      <c r="C43" s="68" t="s">
        <v>241</v>
      </c>
      <c r="D43" s="96">
        <v>30000000</v>
      </c>
      <c r="E43" s="69"/>
      <c r="F43" s="173"/>
      <c r="G43" s="174">
        <f t="shared" si="8"/>
        <v>30000000</v>
      </c>
      <c r="H43" s="150">
        <v>14666900</v>
      </c>
      <c r="I43" s="208">
        <f t="shared" si="5"/>
        <v>0.48889666666666665</v>
      </c>
      <c r="J43" s="209"/>
      <c r="AG43" s="3"/>
      <c r="AH43" s="2"/>
    </row>
    <row r="44" spans="2:35" ht="16.5" customHeight="1" x14ac:dyDescent="0.2">
      <c r="B44" s="58" t="s">
        <v>172</v>
      </c>
      <c r="C44" s="63" t="s">
        <v>173</v>
      </c>
      <c r="D44" s="139">
        <f>SUM(D45:D47)</f>
        <v>20052397</v>
      </c>
      <c r="E44" s="139">
        <f t="shared" ref="E44:F44" si="13">SUM(E45:E47)</f>
        <v>40197993</v>
      </c>
      <c r="F44" s="139">
        <f t="shared" si="13"/>
        <v>0</v>
      </c>
      <c r="G44" s="139">
        <f>SUM(G45:G47)</f>
        <v>60250390</v>
      </c>
      <c r="H44" s="216">
        <f>SUM(H45:H47)</f>
        <v>56951583</v>
      </c>
      <c r="I44" s="207">
        <f t="shared" si="5"/>
        <v>0.94524837100639514</v>
      </c>
      <c r="J44" s="209"/>
      <c r="AF44" s="202">
        <f t="shared" si="9"/>
        <v>60250389.054751627</v>
      </c>
      <c r="AH44" s="83"/>
      <c r="AI44" s="202"/>
    </row>
    <row r="45" spans="2:35" ht="16.5" customHeight="1" x14ac:dyDescent="0.2">
      <c r="B45" s="61" t="s">
        <v>242</v>
      </c>
      <c r="C45" s="59" t="s">
        <v>243</v>
      </c>
      <c r="D45" s="96">
        <v>19952397</v>
      </c>
      <c r="E45" s="69"/>
      <c r="F45" s="69"/>
      <c r="G45" s="174">
        <f t="shared" si="8"/>
        <v>19952397</v>
      </c>
      <c r="H45" s="150">
        <v>16732054</v>
      </c>
      <c r="I45" s="208">
        <f t="shared" si="5"/>
        <v>0.83859869067360682</v>
      </c>
      <c r="J45" s="209"/>
      <c r="AH45" s="2"/>
      <c r="AI45" s="202"/>
    </row>
    <row r="46" spans="2:35" ht="16.5" customHeight="1" x14ac:dyDescent="0.2">
      <c r="B46" s="61" t="s">
        <v>244</v>
      </c>
      <c r="C46" s="59" t="s">
        <v>299</v>
      </c>
      <c r="D46" s="69"/>
      <c r="E46" s="69">
        <v>40197993</v>
      </c>
      <c r="F46" s="69"/>
      <c r="G46" s="174">
        <f t="shared" si="8"/>
        <v>40197993</v>
      </c>
      <c r="H46" s="127">
        <v>40197993</v>
      </c>
      <c r="I46" s="208">
        <f t="shared" si="5"/>
        <v>1</v>
      </c>
      <c r="J46" s="209"/>
      <c r="AH46" s="2"/>
      <c r="AI46" s="202"/>
    </row>
    <row r="47" spans="2:35" ht="16.5" customHeight="1" x14ac:dyDescent="0.2">
      <c r="B47" s="61" t="s">
        <v>298</v>
      </c>
      <c r="C47" s="59" t="s">
        <v>245</v>
      </c>
      <c r="D47" s="69">
        <v>100000</v>
      </c>
      <c r="E47" s="69"/>
      <c r="F47" s="69"/>
      <c r="G47" s="174">
        <f t="shared" si="8"/>
        <v>100000</v>
      </c>
      <c r="H47" s="174">
        <v>21536</v>
      </c>
      <c r="I47" s="208">
        <f t="shared" si="5"/>
        <v>0.21536</v>
      </c>
      <c r="J47" s="209"/>
      <c r="AH47" s="2"/>
      <c r="AI47" s="202"/>
    </row>
    <row r="48" spans="2:35" ht="16.5" customHeight="1" x14ac:dyDescent="0.2">
      <c r="B48" s="58" t="s">
        <v>174</v>
      </c>
      <c r="C48" s="63" t="s">
        <v>175</v>
      </c>
      <c r="D48" s="139">
        <f>SUM(D49:D50)</f>
        <v>13383433176</v>
      </c>
      <c r="E48" s="139">
        <f t="shared" ref="E48:G48" si="14">SUM(E49:E50)</f>
        <v>0</v>
      </c>
      <c r="F48" s="139">
        <f t="shared" si="14"/>
        <v>0</v>
      </c>
      <c r="G48" s="139">
        <f t="shared" si="14"/>
        <v>13383433176</v>
      </c>
      <c r="H48" s="216">
        <f>SUM(H49:H50)</f>
        <v>9409351563</v>
      </c>
      <c r="I48" s="207">
        <f t="shared" si="5"/>
        <v>0.70305962896526664</v>
      </c>
      <c r="J48" s="209"/>
      <c r="AF48" s="202">
        <f t="shared" si="9"/>
        <v>13383433175.29694</v>
      </c>
      <c r="AH48" s="2"/>
      <c r="AI48" s="202"/>
    </row>
    <row r="49" spans="2:35" ht="16.5" customHeight="1" x14ac:dyDescent="0.2">
      <c r="B49" s="61" t="s">
        <v>246</v>
      </c>
      <c r="C49" s="59" t="s">
        <v>247</v>
      </c>
      <c r="D49" s="69">
        <v>13125084506</v>
      </c>
      <c r="E49" s="69"/>
      <c r="F49" s="69"/>
      <c r="G49" s="174">
        <f t="shared" si="8"/>
        <v>13125084506</v>
      </c>
      <c r="H49" s="172">
        <v>9356957300</v>
      </c>
      <c r="I49" s="208">
        <f t="shared" si="5"/>
        <v>0.71290644229548095</v>
      </c>
      <c r="J49" s="209"/>
      <c r="AH49" s="2"/>
      <c r="AI49" s="202"/>
    </row>
    <row r="50" spans="2:35" ht="16.5" customHeight="1" x14ac:dyDescent="0.2">
      <c r="B50" s="61" t="s">
        <v>248</v>
      </c>
      <c r="C50" s="59" t="s">
        <v>249</v>
      </c>
      <c r="D50" s="69">
        <v>258348670</v>
      </c>
      <c r="E50" s="69"/>
      <c r="F50" s="69"/>
      <c r="G50" s="174">
        <f t="shared" si="8"/>
        <v>258348670</v>
      </c>
      <c r="H50" s="96">
        <v>52394263</v>
      </c>
      <c r="I50" s="208">
        <f t="shared" si="5"/>
        <v>0.20280446189252688</v>
      </c>
      <c r="J50" s="209"/>
      <c r="AH50" s="2"/>
      <c r="AI50" s="202"/>
    </row>
    <row r="51" spans="2:35" ht="16.5" customHeight="1" x14ac:dyDescent="0.2">
      <c r="B51" s="61" t="s">
        <v>176</v>
      </c>
      <c r="C51" s="59" t="s">
        <v>177</v>
      </c>
      <c r="D51" s="96">
        <f t="shared" ref="D51:F52" si="15">+D52</f>
        <v>188950688</v>
      </c>
      <c r="E51" s="69">
        <f t="shared" si="15"/>
        <v>0</v>
      </c>
      <c r="F51" s="69">
        <f t="shared" si="15"/>
        <v>0</v>
      </c>
      <c r="G51" s="69">
        <f>+G52</f>
        <v>188950688</v>
      </c>
      <c r="H51" s="96">
        <f>+H52</f>
        <v>0</v>
      </c>
      <c r="I51" s="208">
        <f t="shared" si="5"/>
        <v>0</v>
      </c>
      <c r="J51" s="209"/>
      <c r="AF51" s="202">
        <f t="shared" si="9"/>
        <v>188950688</v>
      </c>
      <c r="AH51" s="82"/>
      <c r="AI51" s="202"/>
    </row>
    <row r="52" spans="2:35" ht="16.5" customHeight="1" x14ac:dyDescent="0.2">
      <c r="B52" s="61" t="s">
        <v>178</v>
      </c>
      <c r="C52" s="59" t="s">
        <v>1</v>
      </c>
      <c r="D52" s="96">
        <f t="shared" si="15"/>
        <v>188950688</v>
      </c>
      <c r="E52" s="69">
        <f t="shared" si="15"/>
        <v>0</v>
      </c>
      <c r="F52" s="69">
        <f t="shared" si="15"/>
        <v>0</v>
      </c>
      <c r="G52" s="212">
        <f>+E52+D52</f>
        <v>188950688</v>
      </c>
      <c r="H52" s="96">
        <f>+H53</f>
        <v>0</v>
      </c>
      <c r="I52" s="208">
        <f t="shared" si="5"/>
        <v>0</v>
      </c>
      <c r="J52" s="209"/>
      <c r="AF52" s="202">
        <f t="shared" si="9"/>
        <v>188950688</v>
      </c>
      <c r="AH52" s="131"/>
      <c r="AI52" s="202"/>
    </row>
    <row r="53" spans="2:35" ht="16.5" customHeight="1" x14ac:dyDescent="0.2">
      <c r="B53" s="58" t="s">
        <v>179</v>
      </c>
      <c r="C53" s="63" t="s">
        <v>180</v>
      </c>
      <c r="D53" s="139">
        <v>188950688</v>
      </c>
      <c r="E53" s="139">
        <v>0</v>
      </c>
      <c r="F53" s="140">
        <v>0</v>
      </c>
      <c r="G53" s="206">
        <f t="shared" ref="G53" si="16">+D53+E53-F53</f>
        <v>188950688</v>
      </c>
      <c r="H53" s="217">
        <v>0</v>
      </c>
      <c r="I53" s="207">
        <f t="shared" si="5"/>
        <v>0</v>
      </c>
      <c r="J53" s="209"/>
      <c r="AF53" s="202">
        <f t="shared" si="9"/>
        <v>188950688</v>
      </c>
      <c r="AH53" s="131"/>
      <c r="AI53" s="202"/>
    </row>
    <row r="54" spans="2:35" ht="16.5" customHeight="1" x14ac:dyDescent="0.2">
      <c r="B54" s="61" t="s">
        <v>181</v>
      </c>
      <c r="C54" s="59" t="s">
        <v>182</v>
      </c>
      <c r="D54" s="210">
        <f>+D55+D62</f>
        <v>441879613</v>
      </c>
      <c r="E54" s="210">
        <f>+E55+E62</f>
        <v>2582669810</v>
      </c>
      <c r="F54" s="210">
        <f>+F55+F62</f>
        <v>0</v>
      </c>
      <c r="G54" s="210">
        <f>+G55+G62</f>
        <v>3024549423</v>
      </c>
      <c r="H54" s="174">
        <f>+H55+H62</f>
        <v>3066769832</v>
      </c>
      <c r="I54" s="208">
        <f t="shared" si="5"/>
        <v>1.0139592392436829</v>
      </c>
      <c r="J54" s="209"/>
      <c r="AF54" s="202">
        <f t="shared" si="9"/>
        <v>3024549421.9860406</v>
      </c>
      <c r="AH54" s="82"/>
      <c r="AI54" s="202"/>
    </row>
    <row r="55" spans="2:35" s="2" customFormat="1" ht="16.5" customHeight="1" x14ac:dyDescent="0.2">
      <c r="B55" s="61" t="s">
        <v>183</v>
      </c>
      <c r="C55" s="59" t="s">
        <v>184</v>
      </c>
      <c r="D55" s="69">
        <f>+D56+D60</f>
        <v>441879613</v>
      </c>
      <c r="E55" s="69">
        <f>+E56+E60</f>
        <v>0</v>
      </c>
      <c r="F55" s="69">
        <f>+F56+F60</f>
        <v>0</v>
      </c>
      <c r="G55" s="69">
        <f>+G56+G60</f>
        <v>441879613</v>
      </c>
      <c r="H55" s="96">
        <f>+H56+H60</f>
        <v>484100022</v>
      </c>
      <c r="I55" s="208">
        <f t="shared" si="5"/>
        <v>1.0955473114348002</v>
      </c>
      <c r="J55" s="209"/>
      <c r="K55" s="1"/>
      <c r="L55" s="1"/>
      <c r="N55" s="214"/>
      <c r="O55" s="215"/>
      <c r="AF55" s="202">
        <f>+G55-I55</f>
        <v>441879611.90445268</v>
      </c>
      <c r="AH55" s="83"/>
      <c r="AI55" s="202"/>
    </row>
    <row r="56" spans="2:35" s="2" customFormat="1" ht="16.5" customHeight="1" x14ac:dyDescent="0.2">
      <c r="B56" s="61" t="s">
        <v>185</v>
      </c>
      <c r="C56" s="59" t="s">
        <v>186</v>
      </c>
      <c r="D56" s="69">
        <f>+D57</f>
        <v>434879613</v>
      </c>
      <c r="E56" s="69">
        <f>+E57</f>
        <v>0</v>
      </c>
      <c r="F56" s="69">
        <f>+F57</f>
        <v>0</v>
      </c>
      <c r="G56" s="69">
        <f>+G57</f>
        <v>434879613</v>
      </c>
      <c r="H56" s="96">
        <f>+H57</f>
        <v>484100022</v>
      </c>
      <c r="I56" s="208">
        <f t="shared" si="5"/>
        <v>1.1131816887447423</v>
      </c>
      <c r="J56" s="209"/>
      <c r="K56" s="1"/>
      <c r="L56" s="1"/>
      <c r="N56" s="214"/>
      <c r="O56" s="215"/>
      <c r="AF56" s="202">
        <f>+G56-I56</f>
        <v>434879611.88681829</v>
      </c>
      <c r="AH56" s="83"/>
      <c r="AI56" s="202"/>
    </row>
    <row r="57" spans="2:35" ht="16.5" customHeight="1" x14ac:dyDescent="0.2">
      <c r="B57" s="58" t="s">
        <v>187</v>
      </c>
      <c r="C57" s="63" t="s">
        <v>188</v>
      </c>
      <c r="D57" s="139">
        <f>SUM(D58:D59)</f>
        <v>434879613</v>
      </c>
      <c r="E57" s="139">
        <f t="shared" ref="E57:G57" si="17">SUM(E58:E59)</f>
        <v>0</v>
      </c>
      <c r="F57" s="139">
        <f t="shared" si="17"/>
        <v>0</v>
      </c>
      <c r="G57" s="139">
        <f t="shared" si="17"/>
        <v>434879613</v>
      </c>
      <c r="H57" s="216">
        <f>SUM(H58:H59)</f>
        <v>484100022</v>
      </c>
      <c r="I57" s="207">
        <f t="shared" si="5"/>
        <v>1.1131816887447423</v>
      </c>
      <c r="J57" s="209"/>
      <c r="AF57" s="202">
        <f t="shared" si="9"/>
        <v>434879611.88681829</v>
      </c>
      <c r="AH57" s="82"/>
      <c r="AI57" s="202"/>
    </row>
    <row r="58" spans="2:35" ht="16.5" customHeight="1" x14ac:dyDescent="0.2">
      <c r="B58" s="61" t="s">
        <v>250</v>
      </c>
      <c r="C58" s="59" t="s">
        <v>251</v>
      </c>
      <c r="D58" s="69">
        <v>330504613</v>
      </c>
      <c r="E58" s="139"/>
      <c r="F58" s="139"/>
      <c r="G58" s="174">
        <f t="shared" ref="G58:G59" si="18">+D58+E58-F58</f>
        <v>330504613</v>
      </c>
      <c r="H58" s="96">
        <v>323707552</v>
      </c>
      <c r="I58" s="208">
        <f t="shared" si="5"/>
        <v>0.97943429310016927</v>
      </c>
      <c r="J58" s="209"/>
      <c r="AH58" s="82"/>
      <c r="AI58" s="202"/>
    </row>
    <row r="59" spans="2:35" ht="16.5" customHeight="1" x14ac:dyDescent="0.2">
      <c r="B59" s="61" t="s">
        <v>252</v>
      </c>
      <c r="C59" s="59" t="s">
        <v>253</v>
      </c>
      <c r="D59" s="69">
        <v>104375000</v>
      </c>
      <c r="E59" s="139"/>
      <c r="F59" s="139"/>
      <c r="G59" s="174">
        <f t="shared" si="18"/>
        <v>104375000</v>
      </c>
      <c r="H59" s="96">
        <v>160392470</v>
      </c>
      <c r="I59" s="208">
        <f t="shared" si="5"/>
        <v>1.5366943233532935</v>
      </c>
      <c r="J59" s="209"/>
      <c r="AH59" s="82"/>
      <c r="AI59" s="202"/>
    </row>
    <row r="60" spans="2:35" ht="16.5" customHeight="1" x14ac:dyDescent="0.2">
      <c r="B60" s="61" t="s">
        <v>189</v>
      </c>
      <c r="C60" s="59" t="s">
        <v>190</v>
      </c>
      <c r="D60" s="69">
        <f>+D61</f>
        <v>7000000</v>
      </c>
      <c r="E60" s="69">
        <f t="shared" ref="E60:H60" si="19">+E61</f>
        <v>0</v>
      </c>
      <c r="F60" s="69">
        <f t="shared" si="19"/>
        <v>0</v>
      </c>
      <c r="G60" s="69">
        <f t="shared" si="19"/>
        <v>7000000</v>
      </c>
      <c r="H60" s="96">
        <f t="shared" si="19"/>
        <v>0</v>
      </c>
      <c r="I60" s="208">
        <f t="shared" si="5"/>
        <v>0</v>
      </c>
      <c r="J60" s="209"/>
      <c r="AF60" s="202">
        <f>+G60-I60</f>
        <v>7000000</v>
      </c>
      <c r="AH60" s="82"/>
      <c r="AI60" s="202"/>
    </row>
    <row r="61" spans="2:35" ht="16.5" customHeight="1" x14ac:dyDescent="0.2">
      <c r="B61" s="58" t="s">
        <v>191</v>
      </c>
      <c r="C61" s="63" t="s">
        <v>205</v>
      </c>
      <c r="D61" s="216">
        <v>7000000</v>
      </c>
      <c r="E61" s="139"/>
      <c r="F61" s="140"/>
      <c r="G61" s="206">
        <f t="shared" ref="G61:G65" si="20">+D61+E61-F61</f>
        <v>7000000</v>
      </c>
      <c r="H61" s="216">
        <v>0</v>
      </c>
      <c r="I61" s="208">
        <f t="shared" si="5"/>
        <v>0</v>
      </c>
      <c r="J61" s="209"/>
      <c r="AF61" s="202">
        <f t="shared" si="9"/>
        <v>7000000</v>
      </c>
      <c r="AH61" s="82"/>
      <c r="AI61" s="202"/>
    </row>
    <row r="62" spans="2:35" ht="16.5" customHeight="1" x14ac:dyDescent="0.2">
      <c r="B62" s="61" t="s">
        <v>192</v>
      </c>
      <c r="C62" s="59" t="s">
        <v>193</v>
      </c>
      <c r="D62" s="69">
        <f>+D63</f>
        <v>0</v>
      </c>
      <c r="E62" s="69">
        <f>+E63</f>
        <v>2582669810</v>
      </c>
      <c r="F62" s="140">
        <v>0</v>
      </c>
      <c r="G62" s="174">
        <f t="shared" si="20"/>
        <v>2582669810</v>
      </c>
      <c r="H62" s="174">
        <f>+H63</f>
        <v>2582669810</v>
      </c>
      <c r="I62" s="208">
        <f t="shared" si="5"/>
        <v>1</v>
      </c>
      <c r="J62" s="209"/>
      <c r="AF62" s="202">
        <f t="shared" si="9"/>
        <v>2582669809</v>
      </c>
      <c r="AH62" s="82"/>
      <c r="AI62" s="202"/>
    </row>
    <row r="63" spans="2:35" ht="16.5" customHeight="1" x14ac:dyDescent="0.2">
      <c r="B63" s="61" t="s">
        <v>194</v>
      </c>
      <c r="C63" s="59" t="s">
        <v>195</v>
      </c>
      <c r="D63" s="69">
        <v>0</v>
      </c>
      <c r="E63" s="69">
        <f>SUM(E64:E65)</f>
        <v>2582669810</v>
      </c>
      <c r="F63" s="140"/>
      <c r="G63" s="174">
        <f t="shared" si="20"/>
        <v>2582669810</v>
      </c>
      <c r="H63" s="174">
        <f>SUM(H64:H65)</f>
        <v>2582669810</v>
      </c>
      <c r="I63" s="208">
        <f t="shared" si="5"/>
        <v>1</v>
      </c>
      <c r="J63" s="209"/>
      <c r="AH63" s="82"/>
      <c r="AI63" s="202"/>
    </row>
    <row r="64" spans="2:35" ht="16.5" customHeight="1" x14ac:dyDescent="0.2">
      <c r="B64" s="61" t="s">
        <v>259</v>
      </c>
      <c r="C64" s="59" t="s">
        <v>139</v>
      </c>
      <c r="D64" s="69"/>
      <c r="E64" s="69">
        <v>2500000000</v>
      </c>
      <c r="F64" s="140"/>
      <c r="G64" s="174">
        <f t="shared" si="20"/>
        <v>2500000000</v>
      </c>
      <c r="H64" s="167">
        <v>2500000000</v>
      </c>
      <c r="I64" s="208">
        <f t="shared" si="5"/>
        <v>1</v>
      </c>
      <c r="J64" s="209"/>
      <c r="AH64" s="82"/>
      <c r="AI64" s="202"/>
    </row>
    <row r="65" spans="1:36" ht="16.5" customHeight="1" x14ac:dyDescent="0.2">
      <c r="B65" s="61" t="s">
        <v>296</v>
      </c>
      <c r="C65" s="59" t="s">
        <v>297</v>
      </c>
      <c r="D65" s="69"/>
      <c r="E65" s="69">
        <v>82669810</v>
      </c>
      <c r="F65" s="140"/>
      <c r="G65" s="174">
        <f t="shared" si="20"/>
        <v>82669810</v>
      </c>
      <c r="H65" s="96">
        <v>82669810</v>
      </c>
      <c r="I65" s="208">
        <f t="shared" si="5"/>
        <v>1</v>
      </c>
      <c r="J65" s="209"/>
      <c r="AH65" s="82"/>
      <c r="AI65" s="202"/>
    </row>
    <row r="66" spans="1:36" s="2" customFormat="1" ht="16.5" customHeight="1" x14ac:dyDescent="0.2">
      <c r="B66" s="58" t="s">
        <v>204</v>
      </c>
      <c r="C66" s="63" t="s">
        <v>196</v>
      </c>
      <c r="D66" s="139">
        <f>+D67</f>
        <v>508466570</v>
      </c>
      <c r="E66" s="139">
        <v>0</v>
      </c>
      <c r="F66" s="139">
        <v>0</v>
      </c>
      <c r="G66" s="139">
        <f t="shared" ref="G66:H69" si="21">+G67</f>
        <v>508466570</v>
      </c>
      <c r="H66" s="216">
        <f t="shared" si="21"/>
        <v>349558779</v>
      </c>
      <c r="I66" s="207">
        <f t="shared" si="5"/>
        <v>0.68747642347460525</v>
      </c>
      <c r="J66" s="209"/>
      <c r="K66" s="1"/>
      <c r="L66" s="1"/>
      <c r="N66" s="214"/>
      <c r="O66" s="215"/>
      <c r="AF66" s="202">
        <f t="shared" si="9"/>
        <v>508466569.3125236</v>
      </c>
      <c r="AH66" s="83"/>
      <c r="AI66" s="202"/>
    </row>
    <row r="67" spans="1:36" s="2" customFormat="1" ht="16.5" customHeight="1" x14ac:dyDescent="0.2">
      <c r="B67" s="61" t="s">
        <v>197</v>
      </c>
      <c r="C67" s="59" t="s">
        <v>198</v>
      </c>
      <c r="D67" s="69">
        <f>+D68</f>
        <v>508466570</v>
      </c>
      <c r="E67" s="69">
        <f>SUM(E68:E70)</f>
        <v>0</v>
      </c>
      <c r="F67" s="69">
        <f>SUM(F68:F70)</f>
        <v>0</v>
      </c>
      <c r="G67" s="69">
        <f t="shared" si="21"/>
        <v>508466570</v>
      </c>
      <c r="H67" s="96">
        <f t="shared" si="21"/>
        <v>349558779</v>
      </c>
      <c r="I67" s="208">
        <f t="shared" si="5"/>
        <v>0.68747642347460525</v>
      </c>
      <c r="J67" s="209"/>
      <c r="K67" s="1"/>
      <c r="L67" s="1"/>
      <c r="N67" s="214"/>
      <c r="O67" s="215"/>
      <c r="AF67" s="202">
        <f t="shared" si="9"/>
        <v>508466569.3125236</v>
      </c>
      <c r="AH67" s="132"/>
      <c r="AI67" s="202"/>
    </row>
    <row r="68" spans="1:36" ht="16.5" customHeight="1" x14ac:dyDescent="0.2">
      <c r="B68" s="61" t="s">
        <v>199</v>
      </c>
      <c r="C68" s="59" t="s">
        <v>2</v>
      </c>
      <c r="D68" s="69">
        <f>+D69</f>
        <v>508466570</v>
      </c>
      <c r="E68" s="69">
        <v>0</v>
      </c>
      <c r="F68" s="69"/>
      <c r="G68" s="69">
        <f t="shared" si="21"/>
        <v>508466570</v>
      </c>
      <c r="H68" s="96">
        <f t="shared" si="21"/>
        <v>349558779</v>
      </c>
      <c r="I68" s="208">
        <f t="shared" si="5"/>
        <v>0.68747642347460525</v>
      </c>
      <c r="J68" s="209"/>
      <c r="AF68" s="202">
        <f t="shared" si="9"/>
        <v>508466569.3125236</v>
      </c>
      <c r="AH68" s="82"/>
    </row>
    <row r="69" spans="1:36" ht="16.5" customHeight="1" x14ac:dyDescent="0.2">
      <c r="B69" s="61" t="s">
        <v>200</v>
      </c>
      <c r="C69" s="59" t="s">
        <v>201</v>
      </c>
      <c r="D69" s="69">
        <f>+D70</f>
        <v>508466570</v>
      </c>
      <c r="E69" s="69">
        <v>0</v>
      </c>
      <c r="F69" s="69"/>
      <c r="G69" s="69">
        <f t="shared" si="21"/>
        <v>508466570</v>
      </c>
      <c r="H69" s="96">
        <f t="shared" si="21"/>
        <v>349558779</v>
      </c>
      <c r="I69" s="208">
        <f t="shared" si="5"/>
        <v>0.68747642347460525</v>
      </c>
      <c r="J69" s="209"/>
      <c r="AF69" s="202">
        <f t="shared" si="9"/>
        <v>508466569.3125236</v>
      </c>
      <c r="AH69" s="82"/>
    </row>
    <row r="70" spans="1:36" ht="16.5" customHeight="1" x14ac:dyDescent="0.2">
      <c r="A70" s="144"/>
      <c r="B70" s="142" t="s">
        <v>202</v>
      </c>
      <c r="C70" s="59" t="s">
        <v>203</v>
      </c>
      <c r="D70" s="69">
        <f>SUM(D71:D72)</f>
        <v>508466570</v>
      </c>
      <c r="E70" s="69">
        <f t="shared" ref="E70:G70" si="22">SUM(E71:E72)</f>
        <v>0</v>
      </c>
      <c r="F70" s="69">
        <f t="shared" si="22"/>
        <v>0</v>
      </c>
      <c r="G70" s="69">
        <f t="shared" si="22"/>
        <v>508466570</v>
      </c>
      <c r="H70" s="96">
        <f>SUM(H71:H72)</f>
        <v>349558779</v>
      </c>
      <c r="I70" s="208">
        <f t="shared" si="5"/>
        <v>0.68747642347460525</v>
      </c>
      <c r="J70" s="209"/>
      <c r="AF70" s="202">
        <f t="shared" si="9"/>
        <v>508466569.3125236</v>
      </c>
      <c r="AH70" s="2"/>
    </row>
    <row r="71" spans="1:36" ht="16.5" customHeight="1" x14ac:dyDescent="0.2">
      <c r="A71" s="144"/>
      <c r="B71" s="142" t="s">
        <v>254</v>
      </c>
      <c r="C71" s="59" t="s">
        <v>31</v>
      </c>
      <c r="D71" s="69">
        <v>220457054</v>
      </c>
      <c r="E71" s="69"/>
      <c r="F71" s="69"/>
      <c r="G71" s="96">
        <f t="shared" ref="G71:G72" si="23">+E71+D71</f>
        <v>220457054</v>
      </c>
      <c r="H71" s="96">
        <v>160143595</v>
      </c>
      <c r="I71" s="208">
        <f t="shared" si="5"/>
        <v>0.72641628877069186</v>
      </c>
      <c r="J71" s="209"/>
      <c r="AH71" s="83"/>
    </row>
    <row r="72" spans="1:36" ht="16.5" customHeight="1" x14ac:dyDescent="0.2">
      <c r="A72" s="144"/>
      <c r="B72" s="142" t="s">
        <v>255</v>
      </c>
      <c r="C72" s="59" t="s">
        <v>32</v>
      </c>
      <c r="D72" s="69">
        <v>288009516</v>
      </c>
      <c r="E72" s="69"/>
      <c r="F72" s="69"/>
      <c r="G72" s="96">
        <f t="shared" si="23"/>
        <v>288009516</v>
      </c>
      <c r="H72" s="238">
        <v>189415184</v>
      </c>
      <c r="I72" s="208">
        <f t="shared" si="5"/>
        <v>0.6576698806021396</v>
      </c>
      <c r="J72" s="209"/>
      <c r="AH72" s="83"/>
    </row>
    <row r="73" spans="1:36" ht="16.5" customHeight="1" x14ac:dyDescent="0.2">
      <c r="B73" s="81"/>
      <c r="C73" s="70" t="s">
        <v>3</v>
      </c>
      <c r="D73" s="218">
        <f>+D74</f>
        <v>4768431000</v>
      </c>
      <c r="E73" s="218">
        <f t="shared" ref="E73:H73" si="24">+E74</f>
        <v>0</v>
      </c>
      <c r="F73" s="218">
        <f t="shared" si="24"/>
        <v>0</v>
      </c>
      <c r="G73" s="218">
        <f t="shared" si="24"/>
        <v>4768431000</v>
      </c>
      <c r="H73" s="218">
        <f t="shared" si="24"/>
        <v>3077294002</v>
      </c>
      <c r="I73" s="219">
        <f>+H73/G73</f>
        <v>0.64534728551173326</v>
      </c>
      <c r="J73" s="209"/>
      <c r="AF73" s="202">
        <f t="shared" ref="AF73:AF78" si="25">+G73-I73</f>
        <v>4768430999.3546524</v>
      </c>
      <c r="AI73" s="14"/>
    </row>
    <row r="74" spans="1:36" ht="16.5" customHeight="1" x14ac:dyDescent="0.2">
      <c r="B74" s="72"/>
      <c r="C74" s="73" t="s">
        <v>4</v>
      </c>
      <c r="D74" s="220">
        <f>+D75+D76+D77</f>
        <v>4768431000</v>
      </c>
      <c r="E74" s="220">
        <f>+E75</f>
        <v>0</v>
      </c>
      <c r="F74" s="220">
        <f>+F75</f>
        <v>0</v>
      </c>
      <c r="G74" s="220">
        <f>+G75+G76+G77</f>
        <v>4768431000</v>
      </c>
      <c r="H74" s="216">
        <f>+H75+H76+H77</f>
        <v>3077294002</v>
      </c>
      <c r="I74" s="208">
        <f t="shared" si="5"/>
        <v>0.64534728551173326</v>
      </c>
      <c r="J74" s="209"/>
      <c r="P74" s="14"/>
      <c r="T74" s="202"/>
      <c r="X74" s="15"/>
      <c r="AF74" s="202">
        <f t="shared" si="25"/>
        <v>4768430999.3546524</v>
      </c>
    </row>
    <row r="75" spans="1:36" ht="16.5" customHeight="1" x14ac:dyDescent="0.2">
      <c r="B75" s="75"/>
      <c r="C75" s="76" t="s">
        <v>28</v>
      </c>
      <c r="D75" s="221">
        <v>4684600000</v>
      </c>
      <c r="E75" s="221"/>
      <c r="F75" s="221">
        <v>0</v>
      </c>
      <c r="G75" s="96">
        <f>+E75+D75</f>
        <v>4684600000</v>
      </c>
      <c r="H75" s="167">
        <v>3017260637</v>
      </c>
      <c r="I75" s="208">
        <f t="shared" si="5"/>
        <v>0.64408074051146313</v>
      </c>
      <c r="J75" s="209"/>
      <c r="M75" s="14"/>
      <c r="Q75" s="14"/>
      <c r="T75" s="15" t="str">
        <f>+[1]REP_PAC018_SituacionCupoPACActu!$Z$23</f>
        <v>1.896.610.358,67</v>
      </c>
      <c r="U75" s="15" t="e">
        <f>+T75-I75</f>
        <v>#VALUE!</v>
      </c>
      <c r="V75" s="15"/>
      <c r="X75" s="15"/>
      <c r="AF75" s="202">
        <f t="shared" si="25"/>
        <v>4684599999.3559189</v>
      </c>
      <c r="AH75" s="2"/>
      <c r="AI75" s="15"/>
      <c r="AJ75" s="15"/>
    </row>
    <row r="76" spans="1:36" ht="16.5" customHeight="1" x14ac:dyDescent="0.2">
      <c r="B76" s="75"/>
      <c r="C76" s="76" t="s">
        <v>26</v>
      </c>
      <c r="D76" s="221">
        <v>65600000</v>
      </c>
      <c r="E76" s="221">
        <v>0</v>
      </c>
      <c r="F76" s="221">
        <v>0</v>
      </c>
      <c r="G76" s="96">
        <f>+E76+D76</f>
        <v>65600000</v>
      </c>
      <c r="H76" s="238">
        <v>57149365</v>
      </c>
      <c r="I76" s="208">
        <f t="shared" si="5"/>
        <v>0.87117934451219514</v>
      </c>
      <c r="J76" s="209"/>
      <c r="P76" s="14"/>
      <c r="Q76" s="14"/>
      <c r="T76" s="15" t="e">
        <f>+I75+#REF!+#REF!</f>
        <v>#REF!</v>
      </c>
      <c r="X76" s="14"/>
      <c r="AF76" s="202">
        <f t="shared" si="25"/>
        <v>65599999.128820658</v>
      </c>
      <c r="AH76" s="2"/>
      <c r="AI76" s="15"/>
      <c r="AJ76" s="15"/>
    </row>
    <row r="77" spans="1:36" ht="16.5" customHeight="1" x14ac:dyDescent="0.2">
      <c r="B77" s="75"/>
      <c r="C77" s="76" t="s">
        <v>27</v>
      </c>
      <c r="D77" s="221">
        <v>18231000</v>
      </c>
      <c r="E77" s="221">
        <v>0</v>
      </c>
      <c r="F77" s="221">
        <v>0</v>
      </c>
      <c r="G77" s="96">
        <f>+E77+D77</f>
        <v>18231000</v>
      </c>
      <c r="H77" s="96">
        <v>2884000</v>
      </c>
      <c r="I77" s="208">
        <f t="shared" si="5"/>
        <v>0.15819209039548024</v>
      </c>
      <c r="J77" s="209"/>
      <c r="T77" s="15"/>
      <c r="X77" s="14"/>
      <c r="AF77" s="202">
        <f t="shared" si="25"/>
        <v>18230999.841807909</v>
      </c>
      <c r="AH77" s="2"/>
      <c r="AI77" s="15"/>
    </row>
    <row r="78" spans="1:36" ht="16.5" customHeight="1" thickBot="1" x14ac:dyDescent="0.25">
      <c r="B78" s="78"/>
      <c r="C78" s="79" t="s">
        <v>103</v>
      </c>
      <c r="D78" s="146">
        <f>+D7+D73</f>
        <v>54244426389</v>
      </c>
      <c r="E78" s="146">
        <f>+E7+E73</f>
        <v>12118254500</v>
      </c>
      <c r="F78" s="146">
        <f>+F7+F73</f>
        <v>0</v>
      </c>
      <c r="G78" s="146">
        <f>+G7+G73</f>
        <v>66362680889</v>
      </c>
      <c r="H78" s="222">
        <f>+H7+H73</f>
        <v>44355386960</v>
      </c>
      <c r="I78" s="223">
        <f>+H78/G78</f>
        <v>0.66837846762384434</v>
      </c>
      <c r="J78" s="209"/>
      <c r="M78" s="202"/>
      <c r="P78" s="14"/>
      <c r="AF78" s="202">
        <f t="shared" si="25"/>
        <v>66362680888.331619</v>
      </c>
      <c r="AH78" s="224"/>
      <c r="AI78" s="14"/>
    </row>
    <row r="79" spans="1:36" ht="16.5" customHeight="1" x14ac:dyDescent="0.2">
      <c r="B79" s="106"/>
      <c r="C79" s="107"/>
      <c r="D79" s="225"/>
      <c r="E79" s="225"/>
      <c r="F79" s="225"/>
      <c r="G79" s="225"/>
      <c r="H79" s="225"/>
      <c r="I79" s="225"/>
      <c r="J79" s="209"/>
      <c r="M79" s="202"/>
      <c r="P79" s="14"/>
      <c r="AH79" s="103">
        <f>+I78-I79</f>
        <v>0.66837846762384434</v>
      </c>
      <c r="AI79" s="14"/>
    </row>
    <row r="80" spans="1:36" ht="16.5" customHeight="1" thickBot="1" x14ac:dyDescent="0.25">
      <c r="B80" s="159"/>
      <c r="C80" s="160"/>
      <c r="D80" s="161"/>
      <c r="E80" s="162"/>
      <c r="F80" s="162"/>
      <c r="G80" s="162"/>
      <c r="H80" s="162"/>
      <c r="I80" s="163"/>
      <c r="J80" s="209"/>
      <c r="M80" s="202"/>
      <c r="P80" s="14"/>
      <c r="AH80" s="14"/>
      <c r="AI80" s="14"/>
    </row>
    <row r="81" spans="2:35" ht="16.5" customHeight="1" x14ac:dyDescent="0.2">
      <c r="B81" s="252" t="s">
        <v>102</v>
      </c>
      <c r="C81" s="253"/>
      <c r="D81" s="253"/>
      <c r="E81" s="253"/>
      <c r="F81" s="253"/>
      <c r="G81" s="253"/>
      <c r="H81" s="253"/>
      <c r="I81" s="254"/>
      <c r="J81" s="209"/>
      <c r="M81" s="202"/>
      <c r="P81" s="14"/>
      <c r="AH81" s="14"/>
      <c r="AI81" s="14"/>
    </row>
    <row r="82" spans="2:35" ht="16.5" customHeight="1" x14ac:dyDescent="0.2">
      <c r="B82" s="99">
        <v>311001</v>
      </c>
      <c r="C82" s="95" t="s">
        <v>25</v>
      </c>
      <c r="D82" s="98"/>
      <c r="E82" s="97"/>
      <c r="F82" s="97"/>
      <c r="G82" s="97">
        <f>+D82+E82</f>
        <v>0</v>
      </c>
      <c r="H82" s="158"/>
      <c r="I82" s="156"/>
      <c r="J82" s="209"/>
      <c r="M82" s="202"/>
      <c r="P82" s="14"/>
      <c r="AH82" s="82"/>
      <c r="AI82" s="14"/>
    </row>
    <row r="83" spans="2:35" ht="16.5" customHeight="1" x14ac:dyDescent="0.2">
      <c r="B83" s="99">
        <v>410001</v>
      </c>
      <c r="C83" s="95" t="s">
        <v>87</v>
      </c>
      <c r="D83" s="105">
        <v>9809286</v>
      </c>
      <c r="E83" s="97"/>
      <c r="F83" s="97"/>
      <c r="G83" s="97">
        <f>+D83+E83</f>
        <v>9809286</v>
      </c>
      <c r="H83" s="158">
        <v>9700000</v>
      </c>
      <c r="I83" s="156"/>
      <c r="J83" s="209"/>
      <c r="M83" s="202"/>
      <c r="P83" s="14"/>
      <c r="AH83" s="103"/>
      <c r="AI83" s="14"/>
    </row>
    <row r="84" spans="2:35" ht="16.5" customHeight="1" x14ac:dyDescent="0.2">
      <c r="B84" s="99">
        <v>410002</v>
      </c>
      <c r="C84" s="95" t="s">
        <v>88</v>
      </c>
      <c r="D84" s="105">
        <v>1514460.9299999997</v>
      </c>
      <c r="E84" s="97"/>
      <c r="F84" s="97"/>
      <c r="G84" s="97">
        <v>1514988</v>
      </c>
      <c r="H84" s="158">
        <v>1514988</v>
      </c>
      <c r="I84" s="156"/>
      <c r="J84" s="209"/>
      <c r="M84" s="202"/>
      <c r="P84" s="14"/>
      <c r="AH84" s="103"/>
      <c r="AI84" s="14"/>
    </row>
    <row r="85" spans="2:35" ht="16.5" customHeight="1" thickBot="1" x14ac:dyDescent="0.25">
      <c r="B85" s="100"/>
      <c r="C85" s="101" t="s">
        <v>104</v>
      </c>
      <c r="D85" s="102">
        <f>SUM(D82:D84)</f>
        <v>11323746.93</v>
      </c>
      <c r="E85" s="102">
        <f>SUM(E80:E84)</f>
        <v>0</v>
      </c>
      <c r="F85" s="102"/>
      <c r="G85" s="102">
        <f>SUM(G82:G84)</f>
        <v>11324274</v>
      </c>
      <c r="H85" s="102">
        <f>SUM(H82:H84)</f>
        <v>11214988</v>
      </c>
      <c r="I85" s="157"/>
      <c r="J85" s="209"/>
      <c r="M85" s="202"/>
      <c r="P85" s="14"/>
      <c r="AH85" s="94"/>
      <c r="AI85" s="14"/>
    </row>
    <row r="86" spans="2:35" x14ac:dyDescent="0.2">
      <c r="B86" s="1"/>
      <c r="G86" s="1"/>
      <c r="J86" s="209"/>
      <c r="M86" s="202"/>
      <c r="P86" s="14"/>
      <c r="AH86" s="94"/>
      <c r="AI86" s="14"/>
    </row>
    <row r="87" spans="2:35" ht="12.75" thickBot="1" x14ac:dyDescent="0.25">
      <c r="B87" s="1"/>
      <c r="G87" s="1"/>
      <c r="J87" s="209"/>
      <c r="M87" s="202"/>
      <c r="P87" s="14"/>
      <c r="AH87" s="94"/>
      <c r="AI87" s="14"/>
    </row>
    <row r="88" spans="2:35" x14ac:dyDescent="0.2">
      <c r="B88" s="243" t="s">
        <v>22</v>
      </c>
      <c r="C88" s="244"/>
      <c r="D88" s="244"/>
      <c r="E88" s="244"/>
      <c r="F88" s="244"/>
      <c r="G88" s="244"/>
      <c r="H88" s="244"/>
      <c r="I88" s="245"/>
      <c r="M88" s="202"/>
      <c r="P88" s="14"/>
      <c r="AH88" s="94"/>
      <c r="AI88" s="14"/>
    </row>
    <row r="89" spans="2:35" x14ac:dyDescent="0.2">
      <c r="B89" s="246" t="s">
        <v>13</v>
      </c>
      <c r="C89" s="247"/>
      <c r="D89" s="247"/>
      <c r="E89" s="247"/>
      <c r="F89" s="247"/>
      <c r="G89" s="247"/>
      <c r="H89" s="247"/>
      <c r="I89" s="248"/>
      <c r="M89" s="202"/>
      <c r="P89" s="14"/>
      <c r="AH89" s="94"/>
      <c r="AI89" s="14"/>
    </row>
    <row r="90" spans="2:35" x14ac:dyDescent="0.2">
      <c r="B90" s="246" t="s">
        <v>91</v>
      </c>
      <c r="C90" s="247"/>
      <c r="D90" s="247"/>
      <c r="E90" s="247"/>
      <c r="F90" s="247"/>
      <c r="G90" s="247"/>
      <c r="H90" s="247"/>
      <c r="I90" s="248"/>
      <c r="M90" s="202"/>
      <c r="P90" s="14"/>
      <c r="AH90" s="94"/>
      <c r="AI90" s="14"/>
    </row>
    <row r="91" spans="2:35" ht="12.75" thickBot="1" x14ac:dyDescent="0.25">
      <c r="B91" s="249" t="s">
        <v>309</v>
      </c>
      <c r="C91" s="250"/>
      <c r="D91" s="250"/>
      <c r="E91" s="250"/>
      <c r="F91" s="250"/>
      <c r="G91" s="250"/>
      <c r="H91" s="250"/>
      <c r="I91" s="251"/>
      <c r="M91" s="202"/>
      <c r="P91" s="14"/>
      <c r="AH91" s="94"/>
      <c r="AI91" s="14"/>
    </row>
    <row r="92" spans="2:35" ht="31.5" customHeight="1" thickBot="1" x14ac:dyDescent="0.25">
      <c r="B92" s="30"/>
      <c r="C92" s="56" t="s">
        <v>0</v>
      </c>
      <c r="D92" s="56" t="s">
        <v>23</v>
      </c>
      <c r="E92" s="56" t="s">
        <v>89</v>
      </c>
      <c r="F92" s="56" t="s">
        <v>90</v>
      </c>
      <c r="G92" s="56" t="s">
        <v>24</v>
      </c>
      <c r="H92" s="166" t="s">
        <v>304</v>
      </c>
      <c r="I92" s="57" t="s">
        <v>269</v>
      </c>
      <c r="M92" s="202"/>
      <c r="P92" s="14"/>
      <c r="AH92" s="94"/>
      <c r="AI92" s="14"/>
    </row>
    <row r="93" spans="2:35" ht="15" customHeight="1" x14ac:dyDescent="0.2">
      <c r="B93" s="61" t="s">
        <v>256</v>
      </c>
      <c r="C93" s="145" t="s">
        <v>257</v>
      </c>
      <c r="D93" s="62">
        <v>79057608517</v>
      </c>
      <c r="E93" s="109">
        <v>0</v>
      </c>
      <c r="F93" s="116">
        <v>0</v>
      </c>
      <c r="G93" s="96">
        <f>+E93+D93</f>
        <v>79057608517</v>
      </c>
      <c r="H93" s="167">
        <v>28806521332</v>
      </c>
      <c r="I93" s="239">
        <f>+H93/G93</f>
        <v>0.36437380123641921</v>
      </c>
      <c r="J93" s="104"/>
      <c r="M93" s="202"/>
      <c r="P93" s="14"/>
      <c r="AH93" s="94"/>
      <c r="AI93" s="14"/>
    </row>
    <row r="94" spans="2:35" ht="15" customHeight="1" thickBot="1" x14ac:dyDescent="0.25">
      <c r="B94" s="78"/>
      <c r="C94" s="79" t="s">
        <v>258</v>
      </c>
      <c r="D94" s="146">
        <f>+D93</f>
        <v>79057608517</v>
      </c>
      <c r="E94" s="146">
        <f t="shared" ref="E94:H94" si="26">+E93</f>
        <v>0</v>
      </c>
      <c r="F94" s="146">
        <f t="shared" si="26"/>
        <v>0</v>
      </c>
      <c r="G94" s="146">
        <f t="shared" si="26"/>
        <v>79057608517</v>
      </c>
      <c r="H94" s="146">
        <f t="shared" si="26"/>
        <v>28806521332</v>
      </c>
      <c r="I94" s="223">
        <f>+H94/G94</f>
        <v>0.36437380123641921</v>
      </c>
      <c r="M94" s="202"/>
      <c r="P94" s="14"/>
      <c r="AH94" s="94"/>
      <c r="AI94" s="14"/>
    </row>
    <row r="95" spans="2:35" x14ac:dyDescent="0.2">
      <c r="B95" s="1"/>
      <c r="G95" s="1"/>
      <c r="M95" s="202"/>
      <c r="P95" s="14"/>
      <c r="AH95" s="94"/>
      <c r="AI95" s="14"/>
    </row>
    <row r="96" spans="2:35" x14ac:dyDescent="0.2">
      <c r="B96" s="1"/>
      <c r="G96" s="1"/>
      <c r="M96" s="202"/>
      <c r="P96" s="14"/>
      <c r="AH96" s="94"/>
      <c r="AI96" s="14"/>
    </row>
    <row r="97" spans="2:35" x14ac:dyDescent="0.2">
      <c r="B97" s="1"/>
      <c r="G97" s="1"/>
      <c r="H97" s="202"/>
      <c r="M97" s="202"/>
      <c r="P97" s="14"/>
      <c r="AH97" s="94"/>
      <c r="AI97" s="14"/>
    </row>
    <row r="98" spans="2:35" x14ac:dyDescent="0.2">
      <c r="B98" s="1"/>
      <c r="G98" s="1"/>
      <c r="H98" s="202"/>
      <c r="J98" s="14"/>
      <c r="L98" s="202"/>
      <c r="M98" s="202"/>
      <c r="P98" s="14"/>
      <c r="AH98" s="94"/>
      <c r="AI98" s="14"/>
    </row>
    <row r="99" spans="2:35" x14ac:dyDescent="0.2">
      <c r="B99" s="1"/>
      <c r="G99" s="1"/>
      <c r="H99" s="202"/>
      <c r="J99" s="14"/>
      <c r="L99" s="202"/>
      <c r="M99" s="202"/>
      <c r="P99" s="14"/>
      <c r="AH99" s="94"/>
      <c r="AI99" s="14"/>
    </row>
    <row r="100" spans="2:35" x14ac:dyDescent="0.2">
      <c r="B100" s="1"/>
      <c r="G100" s="1"/>
      <c r="H100" s="202"/>
      <c r="J100" s="14"/>
      <c r="L100" s="202"/>
      <c r="M100" s="202"/>
      <c r="P100" s="14"/>
      <c r="AH100" s="94"/>
      <c r="AI100" s="14"/>
    </row>
    <row r="101" spans="2:35" x14ac:dyDescent="0.2">
      <c r="B101" s="1"/>
      <c r="G101" s="1"/>
      <c r="J101" s="14"/>
      <c r="L101" s="202"/>
      <c r="M101" s="202"/>
      <c r="P101" s="14"/>
      <c r="AH101" s="94"/>
      <c r="AI101" s="14"/>
    </row>
    <row r="102" spans="2:35" x14ac:dyDescent="0.2">
      <c r="B102" s="1"/>
      <c r="G102" s="1"/>
      <c r="J102" s="3"/>
      <c r="AI102" s="14"/>
    </row>
    <row r="103" spans="2:35" x14ac:dyDescent="0.2">
      <c r="B103" s="1"/>
      <c r="G103" s="1"/>
      <c r="J103" s="3"/>
    </row>
    <row r="104" spans="2:35" x14ac:dyDescent="0.2">
      <c r="B104" s="1"/>
      <c r="G104" s="1"/>
      <c r="J104" s="3"/>
    </row>
    <row r="105" spans="2:35" x14ac:dyDescent="0.2">
      <c r="B105" s="1"/>
      <c r="G105" s="1"/>
      <c r="J105" s="3"/>
    </row>
    <row r="106" spans="2:35" x14ac:dyDescent="0.2">
      <c r="B106" s="1"/>
      <c r="G106" s="1"/>
      <c r="AI106" s="14"/>
    </row>
    <row r="107" spans="2:35" x14ac:dyDescent="0.2">
      <c r="B107" s="1"/>
      <c r="G107" s="1"/>
    </row>
    <row r="108" spans="2:35" x14ac:dyDescent="0.2">
      <c r="B108" s="1"/>
      <c r="G108" s="1"/>
    </row>
    <row r="109" spans="2:35" x14ac:dyDescent="0.2">
      <c r="B109" s="1"/>
      <c r="G109" s="1"/>
    </row>
    <row r="110" spans="2:35" x14ac:dyDescent="0.2">
      <c r="B110" s="1"/>
      <c r="G110" s="1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</sheetData>
  <mergeCells count="10">
    <mergeCell ref="B88:I88"/>
    <mergeCell ref="B89:I89"/>
    <mergeCell ref="B90:I90"/>
    <mergeCell ref="B91:I91"/>
    <mergeCell ref="B1:I1"/>
    <mergeCell ref="B2:I2"/>
    <mergeCell ref="B3:I3"/>
    <mergeCell ref="B4:I4"/>
    <mergeCell ref="B5:I5"/>
    <mergeCell ref="B81:I81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4"/>
  <sheetViews>
    <sheetView tabSelected="1" zoomScaleNormal="100" workbookViewId="0">
      <pane ySplit="1" topLeftCell="A2" activePane="bottomLeft" state="frozen"/>
      <selection pane="bottomLeft" activeCell="C6" sqref="C6:G6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7.42578125" style="4" customWidth="1"/>
    <col min="8" max="8" width="16.140625" style="4" customWidth="1"/>
    <col min="9" max="9" width="16.28515625" style="4" customWidth="1"/>
    <col min="10" max="10" width="17.85546875" style="4" customWidth="1"/>
    <col min="11" max="11" width="16.85546875" style="4" bestFit="1" customWidth="1"/>
    <col min="12" max="12" width="17.140625" style="4" customWidth="1"/>
    <col min="13" max="13" width="16.140625" style="4" bestFit="1" customWidth="1"/>
    <col min="14" max="14" width="16.85546875" style="4" bestFit="1" customWidth="1"/>
    <col min="15" max="15" width="18.140625" style="4" customWidth="1"/>
    <col min="16" max="16" width="17.85546875" style="4" bestFit="1" customWidth="1"/>
    <col min="17" max="17" width="15.42578125" style="4" customWidth="1"/>
    <col min="18" max="18" width="19.5703125" style="4" customWidth="1"/>
    <col min="19" max="19" width="14.7109375" style="4" bestFit="1" customWidth="1"/>
    <col min="20" max="16384" width="11.42578125" style="4"/>
  </cols>
  <sheetData>
    <row r="1" spans="1:20" ht="13.5" thickBot="1" x14ac:dyDescent="0.25">
      <c r="A1" s="261" t="s">
        <v>15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</row>
    <row r="2" spans="1:20" x14ac:dyDescent="0.2">
      <c r="A2" s="262" t="s">
        <v>16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4"/>
    </row>
    <row r="3" spans="1:20" x14ac:dyDescent="0.2">
      <c r="A3" s="265" t="s">
        <v>13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7"/>
    </row>
    <row r="4" spans="1:20" x14ac:dyDescent="0.2">
      <c r="A4" s="265" t="s">
        <v>91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7"/>
    </row>
    <row r="5" spans="1:20" ht="13.5" thickBot="1" x14ac:dyDescent="0.25">
      <c r="A5" s="268" t="s">
        <v>307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70"/>
    </row>
    <row r="6" spans="1:20" s="22" customFormat="1" ht="42" customHeight="1" thickBot="1" x14ac:dyDescent="0.25">
      <c r="A6" s="21"/>
      <c r="B6" s="255" t="s">
        <v>5</v>
      </c>
      <c r="C6" s="257" t="s">
        <v>6</v>
      </c>
      <c r="D6" s="258"/>
      <c r="E6" s="258"/>
      <c r="F6" s="258"/>
      <c r="G6" s="258"/>
      <c r="H6" s="257" t="s">
        <v>7</v>
      </c>
      <c r="I6" s="258"/>
      <c r="J6" s="258"/>
      <c r="K6" s="258"/>
      <c r="L6" s="258"/>
      <c r="M6" s="257" t="s">
        <v>293</v>
      </c>
      <c r="N6" s="259"/>
      <c r="O6" s="259"/>
      <c r="P6" s="260"/>
    </row>
    <row r="7" spans="1:20" s="22" customFormat="1" ht="24.6" customHeight="1" thickBot="1" x14ac:dyDescent="0.25">
      <c r="A7" s="29"/>
      <c r="B7" s="256"/>
      <c r="C7" s="175" t="s">
        <v>305</v>
      </c>
      <c r="D7" s="37" t="s">
        <v>291</v>
      </c>
      <c r="E7" s="37" t="s">
        <v>292</v>
      </c>
      <c r="F7" s="37" t="s">
        <v>18</v>
      </c>
      <c r="G7" s="37" t="s">
        <v>19</v>
      </c>
      <c r="H7" s="175" t="s">
        <v>305</v>
      </c>
      <c r="I7" s="37" t="s">
        <v>291</v>
      </c>
      <c r="J7" s="37" t="s">
        <v>292</v>
      </c>
      <c r="K7" s="37" t="s">
        <v>18</v>
      </c>
      <c r="L7" s="176" t="s">
        <v>19</v>
      </c>
      <c r="M7" s="175" t="s">
        <v>17</v>
      </c>
      <c r="N7" s="175" t="s">
        <v>19</v>
      </c>
      <c r="O7" s="37" t="s">
        <v>20</v>
      </c>
      <c r="P7" s="37" t="s">
        <v>308</v>
      </c>
    </row>
    <row r="8" spans="1:20" s="6" customFormat="1" ht="16.899999999999999" customHeight="1" x14ac:dyDescent="0.2">
      <c r="A8" s="28" t="s">
        <v>106</v>
      </c>
      <c r="B8" s="38" t="s">
        <v>8</v>
      </c>
      <c r="C8" s="39">
        <v>5304251864</v>
      </c>
      <c r="D8" s="39">
        <f>4587816+929612+40000000</f>
        <v>45517428</v>
      </c>
      <c r="E8" s="39">
        <f>16587816+20000000+40000000+11000000+39200000+61336+40929612</f>
        <v>167778764</v>
      </c>
      <c r="F8" s="39">
        <f>+C8+D8-E8</f>
        <v>5181990528</v>
      </c>
      <c r="G8" s="39">
        <f>5409150495-7997476-124832153-3091108837+963308355</f>
        <v>3148520384</v>
      </c>
      <c r="H8" s="194"/>
      <c r="I8" s="40"/>
      <c r="J8" s="40"/>
      <c r="K8" s="40"/>
      <c r="L8" s="40"/>
      <c r="M8" s="201">
        <f>+K8+F8</f>
        <v>5181990528</v>
      </c>
      <c r="N8" s="41">
        <f>+G8+L8</f>
        <v>3148520384</v>
      </c>
      <c r="O8" s="41">
        <f>+M8-N8</f>
        <v>2033470144</v>
      </c>
      <c r="P8" s="188">
        <f>+N8/M8</f>
        <v>0.60758898863043231</v>
      </c>
      <c r="Q8" s="5"/>
      <c r="R8" s="5"/>
      <c r="S8" s="5"/>
    </row>
    <row r="9" spans="1:20" s="6" customFormat="1" ht="13.9" customHeight="1" x14ac:dyDescent="0.2">
      <c r="A9" s="28" t="s">
        <v>107</v>
      </c>
      <c r="B9" s="42" t="s">
        <v>8</v>
      </c>
      <c r="C9" s="39">
        <v>0</v>
      </c>
      <c r="D9" s="39"/>
      <c r="E9" s="39"/>
      <c r="F9" s="39">
        <f>+C9+D9-E9</f>
        <v>0</v>
      </c>
      <c r="G9" s="39"/>
      <c r="H9" s="194"/>
      <c r="I9" s="39"/>
      <c r="J9" s="39"/>
      <c r="K9" s="40"/>
      <c r="L9" s="39"/>
      <c r="M9" s="195">
        <f>+K9+F9</f>
        <v>0</v>
      </c>
      <c r="N9" s="43">
        <f>+G9+L9</f>
        <v>0</v>
      </c>
      <c r="O9" s="43">
        <f>+M9-N9</f>
        <v>0</v>
      </c>
      <c r="P9" s="187"/>
      <c r="R9" s="112"/>
    </row>
    <row r="10" spans="1:20" s="6" customFormat="1" ht="13.9" customHeight="1" x14ac:dyDescent="0.2">
      <c r="A10" s="117" t="s">
        <v>108</v>
      </c>
      <c r="B10" s="42" t="s">
        <v>8</v>
      </c>
      <c r="C10" s="39"/>
      <c r="D10" s="39"/>
      <c r="E10" s="39"/>
      <c r="F10" s="39"/>
      <c r="G10" s="39"/>
      <c r="H10" s="194">
        <v>4684600000</v>
      </c>
      <c r="I10" s="40">
        <v>0</v>
      </c>
      <c r="J10" s="40">
        <v>0</v>
      </c>
      <c r="K10" s="40">
        <f>+I10+H10-I10</f>
        <v>4684600000</v>
      </c>
      <c r="L10" s="40">
        <v>3126699605</v>
      </c>
      <c r="M10" s="195">
        <f>+K10+F10</f>
        <v>4684600000</v>
      </c>
      <c r="N10" s="43">
        <f>+G10+L10</f>
        <v>3126699605</v>
      </c>
      <c r="O10" s="43">
        <f>+M10-N10</f>
        <v>1557900395</v>
      </c>
      <c r="P10" s="188">
        <f>+N10/M10</f>
        <v>0.66744217329120947</v>
      </c>
      <c r="R10" s="112"/>
    </row>
    <row r="11" spans="1:20" s="6" customFormat="1" ht="10.9" customHeight="1" x14ac:dyDescent="0.2">
      <c r="A11" s="7"/>
      <c r="B11" s="44"/>
      <c r="C11" s="39"/>
      <c r="D11" s="39"/>
      <c r="E11" s="39"/>
      <c r="F11" s="39"/>
      <c r="G11" s="39"/>
      <c r="H11" s="194"/>
      <c r="I11" s="39"/>
      <c r="J11" s="39"/>
      <c r="K11" s="39"/>
      <c r="L11" s="39"/>
      <c r="M11" s="195"/>
      <c r="N11" s="43"/>
      <c r="O11" s="43"/>
      <c r="P11" s="187"/>
      <c r="R11" s="112"/>
    </row>
    <row r="12" spans="1:20" s="6" customFormat="1" ht="16.149999999999999" customHeight="1" x14ac:dyDescent="0.2">
      <c r="A12" s="7" t="s">
        <v>109</v>
      </c>
      <c r="B12" s="42" t="s">
        <v>110</v>
      </c>
      <c r="C12" s="43">
        <f t="shared" ref="C12:G12" si="0">SUM(C13:C15)</f>
        <v>8930418808</v>
      </c>
      <c r="D12" s="43">
        <f t="shared" si="0"/>
        <v>708212623</v>
      </c>
      <c r="E12" s="43">
        <f t="shared" si="0"/>
        <v>0</v>
      </c>
      <c r="F12" s="43">
        <f t="shared" si="0"/>
        <v>9638631431</v>
      </c>
      <c r="G12" s="43">
        <f t="shared" si="0"/>
        <v>8049996246</v>
      </c>
      <c r="H12" s="195"/>
      <c r="I12" s="43"/>
      <c r="J12" s="43"/>
      <c r="K12" s="43"/>
      <c r="L12" s="43"/>
      <c r="M12" s="195">
        <f>SUM(M13:M15)</f>
        <v>9638631431</v>
      </c>
      <c r="N12" s="43">
        <f>SUM(N13:N15)</f>
        <v>8049996246</v>
      </c>
      <c r="O12" s="43">
        <f>SUM(O13:O15)</f>
        <v>1588635185</v>
      </c>
      <c r="P12" s="188">
        <f>+N12/M12</f>
        <v>0.83518041992034331</v>
      </c>
      <c r="Q12" s="5"/>
      <c r="R12" s="112"/>
      <c r="S12" s="5"/>
      <c r="T12" s="5"/>
    </row>
    <row r="13" spans="1:20" s="6" customFormat="1" ht="13.15" customHeight="1" x14ac:dyDescent="0.2">
      <c r="A13" s="8" t="s">
        <v>112</v>
      </c>
      <c r="B13" s="45" t="s">
        <v>111</v>
      </c>
      <c r="C13" s="46">
        <f>500000+1677500+15007173+18922500</f>
        <v>36107173</v>
      </c>
      <c r="D13" s="46"/>
      <c r="E13" s="46"/>
      <c r="F13" s="39">
        <f>+C13+D13-E13</f>
        <v>36107173</v>
      </c>
      <c r="G13" s="46">
        <f>85000+677500+683001</f>
        <v>1445501</v>
      </c>
      <c r="H13" s="196"/>
      <c r="I13" s="46"/>
      <c r="J13" s="46"/>
      <c r="K13" s="40"/>
      <c r="L13" s="46"/>
      <c r="M13" s="33">
        <f>+K13+F13</f>
        <v>36107173</v>
      </c>
      <c r="N13" s="36">
        <f>+G13+L13</f>
        <v>1445501</v>
      </c>
      <c r="O13" s="36">
        <f>+M13-N13</f>
        <v>34661672</v>
      </c>
      <c r="P13" s="187">
        <f>+N13/M13</f>
        <v>4.0033624343838829E-2</v>
      </c>
      <c r="R13" s="113"/>
    </row>
    <row r="14" spans="1:20" s="6" customFormat="1" ht="13.15" customHeight="1" x14ac:dyDescent="0.2">
      <c r="A14" s="8" t="s">
        <v>117</v>
      </c>
      <c r="B14" s="45" t="s">
        <v>116</v>
      </c>
      <c r="C14" s="46">
        <v>8894311635</v>
      </c>
      <c r="D14" s="46">
        <f>12000000+20000000+40000000+11000000+39200000</f>
        <v>122200000</v>
      </c>
      <c r="E14" s="46"/>
      <c r="F14" s="39">
        <f>+C14+D14-E14</f>
        <v>9016511635</v>
      </c>
      <c r="G14" s="46">
        <f>124832153+3007108837+65748895+263437434+601732761+9462300+22937900+255350080+4906975+1125218874+361389262+94515964+30738985+1846005098</f>
        <v>7813385518</v>
      </c>
      <c r="H14" s="196"/>
      <c r="I14" s="46"/>
      <c r="J14" s="46"/>
      <c r="K14" s="40"/>
      <c r="L14" s="46"/>
      <c r="M14" s="33">
        <f>+K14+F14</f>
        <v>9016511635</v>
      </c>
      <c r="N14" s="36">
        <f>+G14+L14</f>
        <v>7813385518</v>
      </c>
      <c r="O14" s="36">
        <f>+M14-N14</f>
        <v>1203126117</v>
      </c>
      <c r="P14" s="187">
        <f>+N14/M14</f>
        <v>0.86656412527326598</v>
      </c>
    </row>
    <row r="15" spans="1:20" s="6" customFormat="1" ht="13.15" customHeight="1" x14ac:dyDescent="0.2">
      <c r="A15" s="8" t="s">
        <v>118</v>
      </c>
      <c r="B15" s="45" t="s">
        <v>116</v>
      </c>
      <c r="C15" s="46"/>
      <c r="D15" s="46">
        <v>586012623</v>
      </c>
      <c r="E15" s="46"/>
      <c r="F15" s="39">
        <f>+C15+D15-E15</f>
        <v>586012623</v>
      </c>
      <c r="G15" s="46">
        <v>235165227</v>
      </c>
      <c r="H15" s="196"/>
      <c r="I15" s="46"/>
      <c r="J15" s="46"/>
      <c r="K15" s="46"/>
      <c r="L15" s="46"/>
      <c r="M15" s="33">
        <f>+K15+F15</f>
        <v>586012623</v>
      </c>
      <c r="N15" s="36">
        <f>+G15+L15</f>
        <v>235165227</v>
      </c>
      <c r="O15" s="36">
        <f>+M15-N15</f>
        <v>350847396</v>
      </c>
      <c r="P15" s="187">
        <f>+N15/M15</f>
        <v>0.40129720379760486</v>
      </c>
    </row>
    <row r="16" spans="1:20" s="6" customFormat="1" ht="13.15" customHeight="1" x14ac:dyDescent="0.2">
      <c r="A16" s="8"/>
      <c r="B16" s="45"/>
      <c r="C16" s="46"/>
      <c r="D16" s="46"/>
      <c r="E16" s="46"/>
      <c r="F16" s="39"/>
      <c r="G16" s="46"/>
      <c r="H16" s="196"/>
      <c r="I16" s="46"/>
      <c r="J16" s="46"/>
      <c r="K16" s="40"/>
      <c r="L16" s="46"/>
      <c r="M16" s="33"/>
      <c r="N16" s="36"/>
      <c r="O16" s="36"/>
      <c r="P16" s="183"/>
    </row>
    <row r="17" spans="1:19" s="6" customFormat="1" ht="13.15" customHeight="1" x14ac:dyDescent="0.2">
      <c r="A17" s="117" t="s">
        <v>113</v>
      </c>
      <c r="B17" s="42" t="s">
        <v>110</v>
      </c>
      <c r="C17" s="46"/>
      <c r="D17" s="46"/>
      <c r="E17" s="46"/>
      <c r="F17" s="39"/>
      <c r="G17" s="46"/>
      <c r="H17" s="194">
        <f t="shared" ref="H17:M17" si="1">+H18</f>
        <v>65600000</v>
      </c>
      <c r="I17" s="39">
        <f t="shared" si="1"/>
        <v>0</v>
      </c>
      <c r="J17" s="39">
        <f t="shared" si="1"/>
        <v>0</v>
      </c>
      <c r="K17" s="39">
        <f t="shared" si="1"/>
        <v>65600000</v>
      </c>
      <c r="L17" s="39">
        <f t="shared" si="1"/>
        <v>65600000</v>
      </c>
      <c r="M17" s="195">
        <f t="shared" si="1"/>
        <v>65600000</v>
      </c>
      <c r="N17" s="43">
        <f>++N18</f>
        <v>65600000</v>
      </c>
      <c r="O17" s="43">
        <f>+O18</f>
        <v>0</v>
      </c>
      <c r="P17" s="188">
        <f>+N17/M17</f>
        <v>1</v>
      </c>
    </row>
    <row r="18" spans="1:19" s="6" customFormat="1" ht="13.15" customHeight="1" x14ac:dyDescent="0.2">
      <c r="A18" s="117" t="s">
        <v>114</v>
      </c>
      <c r="B18" s="45" t="s">
        <v>115</v>
      </c>
      <c r="C18" s="46"/>
      <c r="D18" s="46"/>
      <c r="E18" s="46"/>
      <c r="F18" s="39"/>
      <c r="G18" s="46"/>
      <c r="H18" s="196">
        <v>65600000</v>
      </c>
      <c r="I18" s="46"/>
      <c r="J18" s="46"/>
      <c r="K18" s="40">
        <f>+H18+I18-J18</f>
        <v>65600000</v>
      </c>
      <c r="L18" s="46">
        <v>65600000</v>
      </c>
      <c r="M18" s="33">
        <f>+K18+F18</f>
        <v>65600000</v>
      </c>
      <c r="N18" s="36">
        <f>+G18+L18</f>
        <v>65600000</v>
      </c>
      <c r="O18" s="36">
        <f>+M18-N18</f>
        <v>0</v>
      </c>
      <c r="P18" s="187">
        <f>+N18/M18</f>
        <v>1</v>
      </c>
    </row>
    <row r="19" spans="1:19" s="6" customFormat="1" ht="10.9" customHeight="1" x14ac:dyDescent="0.2">
      <c r="A19" s="8"/>
      <c r="B19" s="45"/>
      <c r="C19" s="46"/>
      <c r="D19" s="46"/>
      <c r="E19" s="46"/>
      <c r="F19" s="46"/>
      <c r="G19" s="46"/>
      <c r="H19" s="196"/>
      <c r="I19" s="46"/>
      <c r="J19" s="46"/>
      <c r="K19" s="46"/>
      <c r="L19" s="46"/>
      <c r="M19" s="33"/>
      <c r="N19" s="36"/>
      <c r="O19" s="36"/>
      <c r="P19" s="183"/>
    </row>
    <row r="20" spans="1:19" s="6" customFormat="1" ht="12" x14ac:dyDescent="0.2">
      <c r="A20" s="7" t="s">
        <v>119</v>
      </c>
      <c r="B20" s="42" t="s">
        <v>120</v>
      </c>
      <c r="C20" s="43">
        <f>SUM(C21:C24)</f>
        <v>1505703064</v>
      </c>
      <c r="D20" s="43">
        <f t="shared" ref="D20:G20" si="2">SUM(D21:D24)</f>
        <v>0</v>
      </c>
      <c r="E20" s="43">
        <f t="shared" si="2"/>
        <v>0</v>
      </c>
      <c r="F20" s="43">
        <f>SUM(F21:F24)</f>
        <v>1505703064</v>
      </c>
      <c r="G20" s="43">
        <f t="shared" si="2"/>
        <v>393035394</v>
      </c>
      <c r="H20" s="195"/>
      <c r="I20" s="43"/>
      <c r="J20" s="43"/>
      <c r="K20" s="43"/>
      <c r="L20" s="43"/>
      <c r="M20" s="195">
        <f>SUM(M21:M24)</f>
        <v>1505703064</v>
      </c>
      <c r="N20" s="43">
        <f>SUM(N21:N24)</f>
        <v>393035394</v>
      </c>
      <c r="O20" s="43">
        <f>SUM(O21:O24)</f>
        <v>1112667670</v>
      </c>
      <c r="P20" s="188">
        <f>+N20/M20</f>
        <v>0.26103114445146669</v>
      </c>
      <c r="Q20" s="5"/>
      <c r="R20" s="5"/>
      <c r="S20" s="5"/>
    </row>
    <row r="21" spans="1:19" s="6" customFormat="1" ht="15" customHeight="1" x14ac:dyDescent="0.2">
      <c r="A21" s="8" t="s">
        <v>122</v>
      </c>
      <c r="B21" s="45" t="s">
        <v>121</v>
      </c>
      <c r="C21" s="46">
        <v>22022389</v>
      </c>
      <c r="D21" s="46"/>
      <c r="E21" s="46"/>
      <c r="F21" s="46">
        <f>+C21+D21-E21</f>
        <v>22022389</v>
      </c>
      <c r="G21" s="46">
        <v>22022389</v>
      </c>
      <c r="H21" s="196"/>
      <c r="I21" s="46"/>
      <c r="J21" s="46"/>
      <c r="K21" s="40"/>
      <c r="L21" s="46"/>
      <c r="M21" s="33">
        <f>+K21+F21</f>
        <v>22022389</v>
      </c>
      <c r="N21" s="36">
        <f>+G21+L21</f>
        <v>22022389</v>
      </c>
      <c r="O21" s="36">
        <f>+M21-N21</f>
        <v>0</v>
      </c>
      <c r="P21" s="187">
        <f>+N21/M21</f>
        <v>1</v>
      </c>
    </row>
    <row r="22" spans="1:19" s="6" customFormat="1" ht="15" customHeight="1" x14ac:dyDescent="0.2">
      <c r="A22" s="8" t="s">
        <v>123</v>
      </c>
      <c r="B22" s="45" t="s">
        <v>124</v>
      </c>
      <c r="C22" s="46">
        <f>960666653+152145462</f>
        <v>1112812115</v>
      </c>
      <c r="D22" s="46"/>
      <c r="E22" s="46"/>
      <c r="F22" s="46">
        <f>+C22+D22-E22</f>
        <v>1112812115</v>
      </c>
      <c r="G22" s="46">
        <f>177126668+152145462</f>
        <v>329272130</v>
      </c>
      <c r="H22" s="196"/>
      <c r="I22" s="46"/>
      <c r="J22" s="46"/>
      <c r="K22" s="46"/>
      <c r="L22" s="46"/>
      <c r="M22" s="33">
        <f>+K22+F22</f>
        <v>1112812115</v>
      </c>
      <c r="N22" s="36">
        <f>+G22+L22</f>
        <v>329272130</v>
      </c>
      <c r="O22" s="36">
        <f>+M22-N22</f>
        <v>783539985</v>
      </c>
      <c r="P22" s="187">
        <f>+N22/M22</f>
        <v>0.29589193500108507</v>
      </c>
    </row>
    <row r="23" spans="1:19" s="6" customFormat="1" ht="13.15" customHeight="1" x14ac:dyDescent="0.2">
      <c r="A23" s="8" t="s">
        <v>132</v>
      </c>
      <c r="B23" s="45" t="s">
        <v>125</v>
      </c>
      <c r="C23" s="46">
        <f>7428636+13775253+72002524+7997476</f>
        <v>101203889</v>
      </c>
      <c r="D23" s="46"/>
      <c r="E23" s="46"/>
      <c r="F23" s="46">
        <f>+C23+D23-E23</f>
        <v>101203889</v>
      </c>
      <c r="G23" s="46">
        <f>7997476+3714318+22600445+7428636</f>
        <v>41740875</v>
      </c>
      <c r="H23" s="196"/>
      <c r="I23" s="46"/>
      <c r="J23" s="46"/>
      <c r="K23" s="40"/>
      <c r="L23" s="46"/>
      <c r="M23" s="33">
        <f>+K23+F23</f>
        <v>101203889</v>
      </c>
      <c r="N23" s="36">
        <f>+G23+L23</f>
        <v>41740875</v>
      </c>
      <c r="O23" s="36">
        <f>+M23-N23</f>
        <v>59463014</v>
      </c>
      <c r="P23" s="187">
        <f>+N23/M23</f>
        <v>0.4124433894037412</v>
      </c>
    </row>
    <row r="24" spans="1:19" s="6" customFormat="1" ht="12" x14ac:dyDescent="0.2">
      <c r="A24" s="8" t="s">
        <v>133</v>
      </c>
      <c r="B24" s="45" t="s">
        <v>9</v>
      </c>
      <c r="C24" s="168">
        <v>269664671</v>
      </c>
      <c r="D24" s="46"/>
      <c r="E24" s="46"/>
      <c r="F24" s="46">
        <f>+C24+D24-E24</f>
        <v>269664671</v>
      </c>
      <c r="G24" s="46">
        <v>0</v>
      </c>
      <c r="H24" s="196"/>
      <c r="I24" s="46"/>
      <c r="J24" s="46"/>
      <c r="K24" s="40"/>
      <c r="L24" s="46"/>
      <c r="M24" s="33">
        <f>+K24+F24</f>
        <v>269664671</v>
      </c>
      <c r="N24" s="36">
        <f>+G24+L24</f>
        <v>0</v>
      </c>
      <c r="O24" s="36">
        <f>+M24-N24</f>
        <v>269664671</v>
      </c>
      <c r="P24" s="187">
        <f>+N24/M24</f>
        <v>0</v>
      </c>
    </row>
    <row r="25" spans="1:19" s="6" customFormat="1" ht="12" x14ac:dyDescent="0.2">
      <c r="A25" s="8"/>
      <c r="B25" s="42"/>
      <c r="C25" s="46"/>
      <c r="D25" s="46"/>
      <c r="E25" s="46"/>
      <c r="F25" s="46"/>
      <c r="G25" s="46" t="s">
        <v>30</v>
      </c>
      <c r="H25" s="196"/>
      <c r="I25" s="46"/>
      <c r="J25" s="46"/>
      <c r="K25" s="40"/>
      <c r="L25" s="46"/>
      <c r="M25" s="33"/>
      <c r="N25" s="36"/>
      <c r="O25" s="36"/>
      <c r="P25" s="183"/>
    </row>
    <row r="26" spans="1:19" s="6" customFormat="1" ht="12" customHeight="1" x14ac:dyDescent="0.2">
      <c r="A26" s="8" t="s">
        <v>126</v>
      </c>
      <c r="B26" s="42" t="s">
        <v>127</v>
      </c>
      <c r="C26" s="46">
        <f>SUM(C27:C28)</f>
        <v>75594845</v>
      </c>
      <c r="D26" s="46">
        <f t="shared" ref="D26:N26" si="3">SUM(D27:D28)</f>
        <v>61336</v>
      </c>
      <c r="E26" s="46">
        <f t="shared" si="3"/>
        <v>0</v>
      </c>
      <c r="F26" s="39">
        <f t="shared" si="3"/>
        <v>75656181</v>
      </c>
      <c r="G26" s="39">
        <f t="shared" si="3"/>
        <v>25235422</v>
      </c>
      <c r="H26" s="196">
        <f t="shared" si="3"/>
        <v>0</v>
      </c>
      <c r="I26" s="46">
        <f t="shared" si="3"/>
        <v>0</v>
      </c>
      <c r="J26" s="46">
        <f t="shared" si="3"/>
        <v>0</v>
      </c>
      <c r="K26" s="46">
        <f t="shared" si="3"/>
        <v>0</v>
      </c>
      <c r="L26" s="46">
        <f t="shared" si="3"/>
        <v>0</v>
      </c>
      <c r="M26" s="194">
        <f>SUM(M27:M28)</f>
        <v>75656181</v>
      </c>
      <c r="N26" s="39">
        <f t="shared" si="3"/>
        <v>25235422</v>
      </c>
      <c r="O26" s="39">
        <f>SUM(O27:O28)</f>
        <v>50420759</v>
      </c>
      <c r="P26" s="188">
        <f>+N26/M26</f>
        <v>0.33355400267956958</v>
      </c>
    </row>
    <row r="27" spans="1:19" s="6" customFormat="1" ht="12" customHeight="1" x14ac:dyDescent="0.2">
      <c r="A27" s="8" t="s">
        <v>130</v>
      </c>
      <c r="B27" s="45" t="s">
        <v>128</v>
      </c>
      <c r="C27" s="46">
        <f>1834964+23400458+2590607+3775046</f>
        <v>31601075</v>
      </c>
      <c r="D27" s="46">
        <v>61336</v>
      </c>
      <c r="E27" s="46"/>
      <c r="F27" s="46">
        <f>+C27+D27-E27</f>
        <v>31662411</v>
      </c>
      <c r="G27" s="46">
        <f>1834964+23400458</f>
        <v>25235422</v>
      </c>
      <c r="H27" s="196"/>
      <c r="I27" s="46"/>
      <c r="J27" s="46"/>
      <c r="K27" s="46"/>
      <c r="L27" s="46"/>
      <c r="M27" s="33">
        <f>+K27+F27</f>
        <v>31662411</v>
      </c>
      <c r="N27" s="36">
        <f>+G27+L27</f>
        <v>25235422</v>
      </c>
      <c r="O27" s="36">
        <f>+M27-N27</f>
        <v>6426989</v>
      </c>
      <c r="P27" s="187">
        <f>+N27/M27</f>
        <v>0.79701517360759422</v>
      </c>
    </row>
    <row r="28" spans="1:19" s="6" customFormat="1" ht="12" customHeight="1" x14ac:dyDescent="0.2">
      <c r="A28" s="8" t="s">
        <v>131</v>
      </c>
      <c r="B28" s="45" t="s">
        <v>129</v>
      </c>
      <c r="C28" s="46">
        <v>43993770</v>
      </c>
      <c r="D28" s="46"/>
      <c r="E28" s="46"/>
      <c r="F28" s="46">
        <f>+C28+D28-E28</f>
        <v>43993770</v>
      </c>
      <c r="G28" s="46">
        <v>0</v>
      </c>
      <c r="H28" s="196"/>
      <c r="I28" s="46"/>
      <c r="J28" s="46"/>
      <c r="K28" s="46"/>
      <c r="L28" s="46"/>
      <c r="M28" s="33">
        <f>+K28+F28</f>
        <v>43993770</v>
      </c>
      <c r="N28" s="36">
        <f>+G28+L28</f>
        <v>0</v>
      </c>
      <c r="O28" s="36">
        <f>+M28-N28</f>
        <v>43993770</v>
      </c>
      <c r="P28" s="187">
        <f>+N28/M28</f>
        <v>0</v>
      </c>
    </row>
    <row r="29" spans="1:19" s="6" customFormat="1" ht="12" customHeight="1" x14ac:dyDescent="0.2">
      <c r="A29" s="8"/>
      <c r="B29" s="45"/>
      <c r="C29" s="46"/>
      <c r="D29" s="46"/>
      <c r="E29" s="46"/>
      <c r="F29" s="46"/>
      <c r="G29" s="46"/>
      <c r="H29" s="196"/>
      <c r="I29" s="46"/>
      <c r="J29" s="46"/>
      <c r="K29" s="46"/>
      <c r="L29" s="46"/>
      <c r="M29" s="33"/>
      <c r="N29" s="36"/>
      <c r="O29" s="36"/>
      <c r="P29" s="183"/>
    </row>
    <row r="30" spans="1:19" s="6" customFormat="1" ht="12" customHeight="1" x14ac:dyDescent="0.2">
      <c r="A30" s="117" t="s">
        <v>134</v>
      </c>
      <c r="B30" s="42" t="s">
        <v>127</v>
      </c>
      <c r="C30" s="39">
        <f>SUM(C31:C32)</f>
        <v>0</v>
      </c>
      <c r="D30" s="46">
        <f t="shared" ref="D30:N30" si="4">SUM(D31:D32)</f>
        <v>0</v>
      </c>
      <c r="E30" s="46">
        <f t="shared" si="4"/>
        <v>0</v>
      </c>
      <c r="F30" s="39">
        <f t="shared" si="4"/>
        <v>0</v>
      </c>
      <c r="G30" s="39">
        <f t="shared" si="4"/>
        <v>0</v>
      </c>
      <c r="H30" s="194">
        <f t="shared" si="4"/>
        <v>18231000</v>
      </c>
      <c r="I30" s="46">
        <f t="shared" si="4"/>
        <v>0</v>
      </c>
      <c r="J30" s="46">
        <f t="shared" si="4"/>
        <v>0</v>
      </c>
      <c r="K30" s="39">
        <f t="shared" si="4"/>
        <v>18231000</v>
      </c>
      <c r="L30" s="39">
        <f t="shared" si="4"/>
        <v>2884000</v>
      </c>
      <c r="M30" s="194">
        <f>SUM(M31:M32)</f>
        <v>18231000</v>
      </c>
      <c r="N30" s="39">
        <f t="shared" si="4"/>
        <v>2884000</v>
      </c>
      <c r="O30" s="39">
        <f>SUM(O31:O32)</f>
        <v>15347000</v>
      </c>
      <c r="P30" s="188">
        <f>+N30/M30</f>
        <v>0.15819209039548024</v>
      </c>
    </row>
    <row r="31" spans="1:19" s="6" customFormat="1" ht="12" customHeight="1" x14ac:dyDescent="0.2">
      <c r="A31" s="118" t="s">
        <v>135</v>
      </c>
      <c r="B31" s="45" t="s">
        <v>128</v>
      </c>
      <c r="C31" s="46"/>
      <c r="D31" s="46"/>
      <c r="E31" s="46"/>
      <c r="F31" s="46">
        <f>+C31+D31-E31</f>
        <v>0</v>
      </c>
      <c r="G31" s="46"/>
      <c r="H31" s="196">
        <v>2884000</v>
      </c>
      <c r="I31" s="46">
        <v>0</v>
      </c>
      <c r="J31" s="46">
        <v>0</v>
      </c>
      <c r="K31" s="119">
        <f>+I31+H31-I31</f>
        <v>2884000</v>
      </c>
      <c r="L31" s="46">
        <v>2884000</v>
      </c>
      <c r="M31" s="33">
        <f>+K31+F31</f>
        <v>2884000</v>
      </c>
      <c r="N31" s="36">
        <f>+G31+L31</f>
        <v>2884000</v>
      </c>
      <c r="O31" s="36">
        <f>+M31-N31</f>
        <v>0</v>
      </c>
      <c r="P31" s="187">
        <f>+N31/M31</f>
        <v>1</v>
      </c>
    </row>
    <row r="32" spans="1:19" s="6" customFormat="1" ht="12" customHeight="1" x14ac:dyDescent="0.2">
      <c r="A32" s="118" t="s">
        <v>136</v>
      </c>
      <c r="B32" s="45" t="s">
        <v>137</v>
      </c>
      <c r="C32" s="46"/>
      <c r="D32" s="46"/>
      <c r="E32" s="46"/>
      <c r="F32" s="46">
        <f>+C32+D32-E32</f>
        <v>0</v>
      </c>
      <c r="G32" s="46"/>
      <c r="H32" s="196">
        <v>15347000</v>
      </c>
      <c r="I32" s="46"/>
      <c r="J32" s="46"/>
      <c r="K32" s="119">
        <f>+I32+H32-I32</f>
        <v>15347000</v>
      </c>
      <c r="L32" s="46">
        <v>0</v>
      </c>
      <c r="M32" s="33">
        <f>+K32+F32</f>
        <v>15347000</v>
      </c>
      <c r="N32" s="36">
        <f>+G32+L32</f>
        <v>0</v>
      </c>
      <c r="O32" s="36">
        <f>+M32-N32</f>
        <v>15347000</v>
      </c>
      <c r="P32" s="187">
        <f>+N32/M32</f>
        <v>0</v>
      </c>
    </row>
    <row r="33" spans="1:19" s="6" customFormat="1" ht="12" x14ac:dyDescent="0.2">
      <c r="A33" s="8"/>
      <c r="B33" s="44"/>
      <c r="C33" s="46"/>
      <c r="D33" s="46"/>
      <c r="E33" s="46"/>
      <c r="F33" s="46"/>
      <c r="G33" s="46"/>
      <c r="H33" s="196"/>
      <c r="I33" s="46"/>
      <c r="J33" s="46"/>
      <c r="K33" s="46"/>
      <c r="L33" s="46"/>
      <c r="M33" s="33"/>
      <c r="N33" s="36"/>
      <c r="O33" s="36">
        <f>+M33-N33</f>
        <v>0</v>
      </c>
      <c r="P33" s="187"/>
      <c r="Q33" s="5"/>
      <c r="R33" s="5"/>
      <c r="S33" s="5"/>
    </row>
    <row r="34" spans="1:19" ht="18.600000000000001" customHeight="1" x14ac:dyDescent="0.2">
      <c r="A34" s="20"/>
      <c r="B34" s="47" t="s">
        <v>10</v>
      </c>
      <c r="C34" s="48">
        <f t="shared" ref="C34:G34" si="5">+C8+C9+C10+C12+C17+C20+C26+C30</f>
        <v>15815968581</v>
      </c>
      <c r="D34" s="48">
        <f t="shared" si="5"/>
        <v>753791387</v>
      </c>
      <c r="E34" s="48">
        <f t="shared" si="5"/>
        <v>167778764</v>
      </c>
      <c r="F34" s="48">
        <f t="shared" si="5"/>
        <v>16401981204</v>
      </c>
      <c r="G34" s="48">
        <f t="shared" si="5"/>
        <v>11616787446</v>
      </c>
      <c r="H34" s="197">
        <f t="shared" ref="H34:L34" si="6">+H8+H9+H10+H12+H17+H20+H26+H30</f>
        <v>4768431000</v>
      </c>
      <c r="I34" s="48">
        <f t="shared" si="6"/>
        <v>0</v>
      </c>
      <c r="J34" s="48">
        <f t="shared" si="6"/>
        <v>0</v>
      </c>
      <c r="K34" s="48">
        <f t="shared" si="6"/>
        <v>4768431000</v>
      </c>
      <c r="L34" s="48">
        <f t="shared" si="6"/>
        <v>3195183605</v>
      </c>
      <c r="M34" s="197">
        <f>+M8+M9+M10+M12+M17+M20+M26+M30</f>
        <v>21170412204</v>
      </c>
      <c r="N34" s="48">
        <f>+N8+N9+N10+N12+N17+N20+N26+N30</f>
        <v>14811971051</v>
      </c>
      <c r="O34" s="48">
        <f>+O8+O9+O10+O12+O17+O20+O26+O30</f>
        <v>6358441153</v>
      </c>
      <c r="P34" s="189">
        <f>+N34/M34</f>
        <v>0.6996543528898026</v>
      </c>
    </row>
    <row r="35" spans="1:19" s="6" customFormat="1" ht="12" x14ac:dyDescent="0.2">
      <c r="A35" s="9"/>
      <c r="B35" s="45"/>
      <c r="C35" s="36"/>
      <c r="D35" s="36"/>
      <c r="E35" s="36"/>
      <c r="F35" s="36"/>
      <c r="G35" s="36"/>
      <c r="H35" s="33"/>
      <c r="I35" s="36"/>
      <c r="J35" s="36"/>
      <c r="K35" s="36"/>
      <c r="L35" s="36"/>
      <c r="M35" s="33"/>
      <c r="N35" s="36"/>
      <c r="O35" s="36"/>
      <c r="P35" s="183"/>
    </row>
    <row r="36" spans="1:19" s="6" customFormat="1" ht="12" x14ac:dyDescent="0.2">
      <c r="A36" s="9"/>
      <c r="B36" s="45"/>
      <c r="C36" s="36"/>
      <c r="D36" s="36"/>
      <c r="E36" s="36"/>
      <c r="F36" s="36"/>
      <c r="G36" s="36"/>
      <c r="H36" s="33"/>
      <c r="I36" s="36"/>
      <c r="J36" s="36"/>
      <c r="K36" s="36"/>
      <c r="L36" s="36"/>
      <c r="M36" s="33"/>
      <c r="N36" s="36"/>
      <c r="O36" s="36"/>
      <c r="P36" s="183"/>
    </row>
    <row r="37" spans="1:19" s="19" customFormat="1" ht="19.149999999999999" customHeight="1" x14ac:dyDescent="0.2">
      <c r="A37" s="26"/>
      <c r="B37" s="49" t="s">
        <v>29</v>
      </c>
      <c r="C37" s="50">
        <f t="shared" ref="C37:G37" si="7">+C40</f>
        <v>33660026808</v>
      </c>
      <c r="D37" s="50">
        <f t="shared" si="7"/>
        <v>15587671782.860001</v>
      </c>
      <c r="E37" s="50">
        <f t="shared" si="7"/>
        <v>4055429906.3000002</v>
      </c>
      <c r="F37" s="50">
        <f t="shared" si="7"/>
        <v>45192268684.559998</v>
      </c>
      <c r="G37" s="50">
        <f t="shared" si="7"/>
        <v>26651883879</v>
      </c>
      <c r="H37" s="198">
        <f>+H40</f>
        <v>0</v>
      </c>
      <c r="I37" s="50">
        <f>+I40</f>
        <v>0</v>
      </c>
      <c r="J37" s="50">
        <f t="shared" ref="J37:L37" si="8">+J40</f>
        <v>0</v>
      </c>
      <c r="K37" s="50">
        <f t="shared" si="8"/>
        <v>0</v>
      </c>
      <c r="L37" s="50">
        <f t="shared" si="8"/>
        <v>0</v>
      </c>
      <c r="M37" s="198">
        <f>+M40</f>
        <v>45192268684.559998</v>
      </c>
      <c r="N37" s="50">
        <f>+N40</f>
        <v>26651883879</v>
      </c>
      <c r="O37" s="50">
        <f>+O40</f>
        <v>18540384805.560001</v>
      </c>
      <c r="P37" s="190">
        <f>+N37/M37</f>
        <v>0.58974432253067333</v>
      </c>
    </row>
    <row r="38" spans="1:19" s="6" customFormat="1" ht="12" x14ac:dyDescent="0.2">
      <c r="A38" s="9"/>
      <c r="B38" s="42"/>
      <c r="C38" s="36"/>
      <c r="D38" s="36"/>
      <c r="E38" s="36"/>
      <c r="F38" s="36"/>
      <c r="G38" s="36"/>
      <c r="H38" s="33"/>
      <c r="I38" s="36"/>
      <c r="J38" s="36"/>
      <c r="K38" s="36"/>
      <c r="L38" s="36"/>
      <c r="M38" s="33"/>
      <c r="N38" s="36"/>
      <c r="O38" s="36"/>
      <c r="P38" s="183"/>
      <c r="Q38" s="5"/>
      <c r="R38" s="5"/>
    </row>
    <row r="39" spans="1:19" s="32" customFormat="1" ht="12" x14ac:dyDescent="0.2">
      <c r="A39" s="33"/>
      <c r="B39" s="36"/>
      <c r="C39" s="36"/>
      <c r="D39" s="36"/>
      <c r="E39" s="36"/>
      <c r="F39" s="36"/>
      <c r="G39" s="36"/>
      <c r="H39" s="33"/>
      <c r="I39" s="36"/>
      <c r="J39" s="36"/>
      <c r="K39" s="36"/>
      <c r="L39" s="36"/>
      <c r="M39" s="33"/>
      <c r="N39" s="36"/>
      <c r="O39" s="36"/>
      <c r="P39" s="184"/>
      <c r="Q39" s="5"/>
      <c r="R39" s="5"/>
    </row>
    <row r="40" spans="1:19" s="32" customFormat="1" ht="27" customHeight="1" x14ac:dyDescent="0.2">
      <c r="A40" s="31"/>
      <c r="B40" s="51" t="s">
        <v>33</v>
      </c>
      <c r="C40" s="52">
        <f t="shared" ref="C40:G40" si="9">+C42+C48+C59+C68+C74+C77+C83+C88+C91+C100</f>
        <v>33660026808</v>
      </c>
      <c r="D40" s="52">
        <f t="shared" si="9"/>
        <v>15587671782.860001</v>
      </c>
      <c r="E40" s="52">
        <f t="shared" si="9"/>
        <v>4055429906.3000002</v>
      </c>
      <c r="F40" s="52">
        <f t="shared" si="9"/>
        <v>45192268684.559998</v>
      </c>
      <c r="G40" s="52">
        <f t="shared" si="9"/>
        <v>26651883879</v>
      </c>
      <c r="H40" s="199"/>
      <c r="I40" s="52"/>
      <c r="J40" s="52"/>
      <c r="K40" s="52">
        <f t="shared" ref="K40:L40" si="10">+K42+K48+K59+K68+K74+K77+K83+K88+K91+H100</f>
        <v>0</v>
      </c>
      <c r="L40" s="52">
        <f t="shared" si="10"/>
        <v>0</v>
      </c>
      <c r="M40" s="199">
        <f>+M42+M48+M59+M68+M74+M77+M83+M88+M91+M100</f>
        <v>45192268684.559998</v>
      </c>
      <c r="N40" s="52">
        <f>+N42+N48+N59+N68+N74+N77+N83+N88+N91+N100</f>
        <v>26651883879</v>
      </c>
      <c r="O40" s="52">
        <f>+O42+O48+O59+O68+O74+O77+O83+O88+O91+O100</f>
        <v>18540384805.560001</v>
      </c>
      <c r="P40" s="190">
        <f>+N40/M40</f>
        <v>0.58974432253067333</v>
      </c>
      <c r="Q40" s="5"/>
      <c r="R40" s="5"/>
    </row>
    <row r="41" spans="1:19" s="32" customFormat="1" ht="13.15" customHeight="1" x14ac:dyDescent="0.2">
      <c r="A41" s="33"/>
      <c r="B41" s="35"/>
      <c r="C41" s="36"/>
      <c r="D41" s="36"/>
      <c r="E41" s="36"/>
      <c r="F41" s="36"/>
      <c r="G41" s="36"/>
      <c r="H41" s="33"/>
      <c r="I41" s="36"/>
      <c r="J41" s="36"/>
      <c r="K41" s="36"/>
      <c r="L41" s="36"/>
      <c r="M41" s="33"/>
      <c r="N41" s="36"/>
      <c r="O41" s="182"/>
      <c r="P41" s="184"/>
      <c r="Q41" s="5"/>
      <c r="R41" s="5"/>
    </row>
    <row r="42" spans="1:19" s="32" customFormat="1" ht="16.5" customHeight="1" x14ac:dyDescent="0.2">
      <c r="A42" s="31"/>
      <c r="B42" s="34" t="s">
        <v>34</v>
      </c>
      <c r="C42" s="88">
        <f>SUM(C43:C46)</f>
        <v>600000000</v>
      </c>
      <c r="D42" s="88">
        <f t="shared" ref="D42:N42" si="11">SUM(D43:D46)</f>
        <v>520000000</v>
      </c>
      <c r="E42" s="88">
        <f t="shared" si="11"/>
        <v>0</v>
      </c>
      <c r="F42" s="88">
        <f t="shared" si="11"/>
        <v>1120000000</v>
      </c>
      <c r="G42" s="88">
        <f t="shared" si="11"/>
        <v>636016257</v>
      </c>
      <c r="H42" s="31">
        <f t="shared" si="11"/>
        <v>0</v>
      </c>
      <c r="I42" s="88">
        <f t="shared" si="11"/>
        <v>0</v>
      </c>
      <c r="J42" s="88">
        <f t="shared" si="11"/>
        <v>0</v>
      </c>
      <c r="K42" s="88">
        <f t="shared" si="11"/>
        <v>0</v>
      </c>
      <c r="L42" s="88">
        <f t="shared" si="11"/>
        <v>0</v>
      </c>
      <c r="M42" s="199">
        <f t="shared" si="11"/>
        <v>1120000000</v>
      </c>
      <c r="N42" s="52">
        <f t="shared" si="11"/>
        <v>636016257</v>
      </c>
      <c r="O42" s="52">
        <f>SUM(O43:O46)</f>
        <v>483983743</v>
      </c>
      <c r="P42" s="190">
        <f>+N42/M42</f>
        <v>0.56787165803571427</v>
      </c>
      <c r="Q42" s="5"/>
      <c r="R42" s="5"/>
    </row>
    <row r="43" spans="1:19" s="32" customFormat="1" ht="27" customHeight="1" x14ac:dyDescent="0.2">
      <c r="A43" s="33" t="s">
        <v>37</v>
      </c>
      <c r="B43" s="35" t="s">
        <v>86</v>
      </c>
      <c r="C43" s="36">
        <f>369540669+130459331</f>
        <v>500000000</v>
      </c>
      <c r="D43" s="36"/>
      <c r="E43" s="36"/>
      <c r="F43" s="36">
        <f>+C43+D43-E43</f>
        <v>500000000</v>
      </c>
      <c r="G43" s="36">
        <f>122163131+355540669</f>
        <v>477703800</v>
      </c>
      <c r="H43" s="33"/>
      <c r="I43" s="36"/>
      <c r="J43" s="36"/>
      <c r="K43" s="36"/>
      <c r="L43" s="36"/>
      <c r="M43" s="33">
        <f t="shared" ref="M43:N46" si="12">+K43+F43</f>
        <v>500000000</v>
      </c>
      <c r="N43" s="36">
        <f t="shared" si="12"/>
        <v>477703800</v>
      </c>
      <c r="O43" s="182">
        <f>+M43-N43</f>
        <v>22296200</v>
      </c>
      <c r="P43" s="187">
        <f>+N43/M43</f>
        <v>0.95540760000000002</v>
      </c>
      <c r="Q43" s="5"/>
      <c r="R43" s="5"/>
    </row>
    <row r="44" spans="1:19" s="32" customFormat="1" ht="27" customHeight="1" x14ac:dyDescent="0.2">
      <c r="A44" s="33" t="s">
        <v>270</v>
      </c>
      <c r="B44" s="35" t="s">
        <v>86</v>
      </c>
      <c r="C44" s="36"/>
      <c r="D44" s="36">
        <v>300000000</v>
      </c>
      <c r="E44" s="36"/>
      <c r="F44" s="36">
        <f t="shared" ref="F44:F46" si="13">+C44+D44-E44</f>
        <v>300000000</v>
      </c>
      <c r="G44" s="36">
        <v>113812457</v>
      </c>
      <c r="H44" s="33"/>
      <c r="I44" s="36"/>
      <c r="J44" s="36"/>
      <c r="K44" s="36"/>
      <c r="L44" s="36"/>
      <c r="M44" s="33">
        <f t="shared" si="12"/>
        <v>300000000</v>
      </c>
      <c r="N44" s="36">
        <f t="shared" si="12"/>
        <v>113812457</v>
      </c>
      <c r="O44" s="182">
        <f>+M44-N44</f>
        <v>186187543</v>
      </c>
      <c r="P44" s="187">
        <f>+N44/M44</f>
        <v>0.37937485666666665</v>
      </c>
      <c r="Q44" s="5"/>
      <c r="R44" s="5"/>
    </row>
    <row r="45" spans="1:19" s="32" customFormat="1" ht="25.5" customHeight="1" x14ac:dyDescent="0.2">
      <c r="A45" s="33" t="s">
        <v>38</v>
      </c>
      <c r="B45" s="35" t="s">
        <v>35</v>
      </c>
      <c r="C45" s="36">
        <v>100000000</v>
      </c>
      <c r="D45" s="36"/>
      <c r="E45" s="36"/>
      <c r="F45" s="36">
        <f t="shared" si="13"/>
        <v>100000000</v>
      </c>
      <c r="G45" s="36">
        <v>44500000</v>
      </c>
      <c r="H45" s="33"/>
      <c r="I45" s="36"/>
      <c r="J45" s="36"/>
      <c r="K45" s="36"/>
      <c r="L45" s="36"/>
      <c r="M45" s="33">
        <f t="shared" si="12"/>
        <v>100000000</v>
      </c>
      <c r="N45" s="36">
        <f t="shared" si="12"/>
        <v>44500000</v>
      </c>
      <c r="O45" s="182">
        <f>+M45-N45</f>
        <v>55500000</v>
      </c>
      <c r="P45" s="187">
        <f>+N45/M45</f>
        <v>0.44500000000000001</v>
      </c>
      <c r="Q45" s="5"/>
      <c r="R45" s="5"/>
    </row>
    <row r="46" spans="1:19" s="32" customFormat="1" ht="25.5" customHeight="1" x14ac:dyDescent="0.2">
      <c r="A46" s="33" t="s">
        <v>271</v>
      </c>
      <c r="B46" s="35" t="s">
        <v>35</v>
      </c>
      <c r="C46" s="36"/>
      <c r="D46" s="36">
        <v>220000000</v>
      </c>
      <c r="E46" s="36"/>
      <c r="F46" s="36">
        <f t="shared" si="13"/>
        <v>220000000</v>
      </c>
      <c r="G46" s="36">
        <v>0</v>
      </c>
      <c r="H46" s="33"/>
      <c r="I46" s="36"/>
      <c r="J46" s="36"/>
      <c r="K46" s="36"/>
      <c r="L46" s="36"/>
      <c r="M46" s="33">
        <f t="shared" si="12"/>
        <v>220000000</v>
      </c>
      <c r="N46" s="36">
        <f t="shared" si="12"/>
        <v>0</v>
      </c>
      <c r="O46" s="182">
        <f>+M46-N46</f>
        <v>220000000</v>
      </c>
      <c r="P46" s="187">
        <f>+N46/M46</f>
        <v>0</v>
      </c>
      <c r="Q46" s="5"/>
      <c r="R46" s="5"/>
    </row>
    <row r="47" spans="1:19" s="32" customFormat="1" ht="13.15" customHeight="1" x14ac:dyDescent="0.2">
      <c r="A47" s="33"/>
      <c r="B47" s="35"/>
      <c r="C47" s="36"/>
      <c r="D47" s="36"/>
      <c r="E47" s="36"/>
      <c r="F47" s="36"/>
      <c r="G47" s="36"/>
      <c r="H47" s="33"/>
      <c r="I47" s="36"/>
      <c r="J47" s="36"/>
      <c r="K47" s="36"/>
      <c r="L47" s="36"/>
      <c r="M47" s="33"/>
      <c r="N47" s="36"/>
      <c r="O47" s="182"/>
      <c r="P47" s="184"/>
      <c r="Q47" s="5"/>
      <c r="R47" s="5"/>
    </row>
    <row r="48" spans="1:19" s="32" customFormat="1" ht="36" customHeight="1" x14ac:dyDescent="0.2">
      <c r="A48" s="31"/>
      <c r="B48" s="34" t="s">
        <v>36</v>
      </c>
      <c r="C48" s="88">
        <f>SUM(C49:C57)</f>
        <v>3280037467</v>
      </c>
      <c r="D48" s="88">
        <f t="shared" ref="D48:N48" si="14">SUM(D49:D57)</f>
        <v>1805000000</v>
      </c>
      <c r="E48" s="88">
        <f t="shared" si="14"/>
        <v>0</v>
      </c>
      <c r="F48" s="88">
        <f t="shared" si="14"/>
        <v>5085037467</v>
      </c>
      <c r="G48" s="88">
        <f t="shared" si="14"/>
        <v>3710258609</v>
      </c>
      <c r="H48" s="31">
        <f t="shared" si="14"/>
        <v>0</v>
      </c>
      <c r="I48" s="88">
        <f t="shared" si="14"/>
        <v>0</v>
      </c>
      <c r="J48" s="88">
        <f t="shared" si="14"/>
        <v>0</v>
      </c>
      <c r="K48" s="88">
        <f t="shared" si="14"/>
        <v>0</v>
      </c>
      <c r="L48" s="88">
        <f t="shared" si="14"/>
        <v>0</v>
      </c>
      <c r="M48" s="199">
        <f t="shared" si="14"/>
        <v>5085037467</v>
      </c>
      <c r="N48" s="52">
        <f t="shared" si="14"/>
        <v>3710258609</v>
      </c>
      <c r="O48" s="52">
        <f>SUM(O49:O57)</f>
        <v>1374778858</v>
      </c>
      <c r="P48" s="190">
        <f t="shared" ref="P48:P57" si="15">+N48/M48</f>
        <v>0.7296423346097638</v>
      </c>
      <c r="Q48" s="5"/>
      <c r="R48" s="5"/>
    </row>
    <row r="49" spans="1:18" s="32" customFormat="1" ht="23.25" customHeight="1" x14ac:dyDescent="0.2">
      <c r="A49" s="33" t="s">
        <v>47</v>
      </c>
      <c r="B49" s="35" t="s">
        <v>42</v>
      </c>
      <c r="C49" s="36">
        <f>33600000+86400000</f>
        <v>120000000</v>
      </c>
      <c r="D49" s="36"/>
      <c r="E49" s="36"/>
      <c r="F49" s="36">
        <f t="shared" ref="F49:F57" si="16">+C49+D49-E49</f>
        <v>120000000</v>
      </c>
      <c r="G49" s="36">
        <v>86400000</v>
      </c>
      <c r="H49" s="33"/>
      <c r="I49" s="36"/>
      <c r="J49" s="36"/>
      <c r="K49" s="36"/>
      <c r="L49" s="36"/>
      <c r="M49" s="33">
        <f t="shared" ref="M49:M57" si="17">+K49+F49</f>
        <v>120000000</v>
      </c>
      <c r="N49" s="36">
        <f t="shared" ref="N49:N57" si="18">+L49+G49</f>
        <v>86400000</v>
      </c>
      <c r="O49" s="182">
        <f t="shared" ref="O49:O57" si="19">+M49-N49</f>
        <v>33600000</v>
      </c>
      <c r="P49" s="187">
        <f t="shared" si="15"/>
        <v>0.72</v>
      </c>
      <c r="Q49" s="5"/>
      <c r="R49" s="5"/>
    </row>
    <row r="50" spans="1:18" s="32" customFormat="1" ht="23.25" customHeight="1" x14ac:dyDescent="0.2">
      <c r="A50" s="33" t="s">
        <v>276</v>
      </c>
      <c r="B50" s="35" t="s">
        <v>42</v>
      </c>
      <c r="C50" s="36"/>
      <c r="D50" s="36">
        <v>55000000</v>
      </c>
      <c r="E50" s="36"/>
      <c r="F50" s="36">
        <f t="shared" si="16"/>
        <v>55000000</v>
      </c>
      <c r="G50" s="36">
        <v>0</v>
      </c>
      <c r="H50" s="33"/>
      <c r="I50" s="36"/>
      <c r="J50" s="36"/>
      <c r="K50" s="36"/>
      <c r="L50" s="36"/>
      <c r="M50" s="33">
        <f t="shared" si="17"/>
        <v>55000000</v>
      </c>
      <c r="N50" s="36">
        <f t="shared" si="18"/>
        <v>0</v>
      </c>
      <c r="O50" s="182">
        <f t="shared" si="19"/>
        <v>55000000</v>
      </c>
      <c r="P50" s="187">
        <f t="shared" si="15"/>
        <v>0</v>
      </c>
      <c r="Q50" s="5"/>
      <c r="R50" s="5"/>
    </row>
    <row r="51" spans="1:18" s="32" customFormat="1" ht="39.75" customHeight="1" x14ac:dyDescent="0.2">
      <c r="A51" s="33" t="s">
        <v>48</v>
      </c>
      <c r="B51" s="35" t="s">
        <v>39</v>
      </c>
      <c r="C51" s="36">
        <f>156750000+503250000</f>
        <v>660000000</v>
      </c>
      <c r="D51" s="36"/>
      <c r="E51" s="36"/>
      <c r="F51" s="36">
        <f t="shared" si="16"/>
        <v>660000000</v>
      </c>
      <c r="G51" s="36">
        <v>503250000</v>
      </c>
      <c r="H51" s="33"/>
      <c r="I51" s="36"/>
      <c r="J51" s="36"/>
      <c r="K51" s="36"/>
      <c r="L51" s="36"/>
      <c r="M51" s="33">
        <f t="shared" si="17"/>
        <v>660000000</v>
      </c>
      <c r="N51" s="36">
        <f t="shared" si="18"/>
        <v>503250000</v>
      </c>
      <c r="O51" s="182">
        <f t="shared" si="19"/>
        <v>156750000</v>
      </c>
      <c r="P51" s="187">
        <f t="shared" si="15"/>
        <v>0.76249999999999996</v>
      </c>
      <c r="Q51" s="5"/>
      <c r="R51" s="5"/>
    </row>
    <row r="52" spans="1:18" s="32" customFormat="1" ht="39" customHeight="1" x14ac:dyDescent="0.2">
      <c r="A52" s="33" t="s">
        <v>49</v>
      </c>
      <c r="B52" s="35" t="s">
        <v>43</v>
      </c>
      <c r="C52" s="36">
        <v>30000000</v>
      </c>
      <c r="D52" s="36"/>
      <c r="E52" s="36"/>
      <c r="F52" s="36">
        <f t="shared" si="16"/>
        <v>30000000</v>
      </c>
      <c r="G52" s="36">
        <v>0</v>
      </c>
      <c r="H52" s="33"/>
      <c r="I52" s="36"/>
      <c r="J52" s="36"/>
      <c r="K52" s="36"/>
      <c r="L52" s="36"/>
      <c r="M52" s="33">
        <f t="shared" si="17"/>
        <v>30000000</v>
      </c>
      <c r="N52" s="36">
        <f t="shared" si="18"/>
        <v>0</v>
      </c>
      <c r="O52" s="182">
        <f t="shared" si="19"/>
        <v>30000000</v>
      </c>
      <c r="P52" s="187">
        <f t="shared" si="15"/>
        <v>0</v>
      </c>
      <c r="Q52" s="5"/>
      <c r="R52" s="5"/>
    </row>
    <row r="53" spans="1:18" s="32" customFormat="1" ht="25.5" customHeight="1" x14ac:dyDescent="0.2">
      <c r="A53" s="177" t="s">
        <v>50</v>
      </c>
      <c r="B53" s="178" t="s">
        <v>40</v>
      </c>
      <c r="C53" s="179">
        <f>93845396+1597725501</f>
        <v>1691570897</v>
      </c>
      <c r="D53" s="179"/>
      <c r="E53" s="179"/>
      <c r="F53" s="179">
        <f t="shared" si="16"/>
        <v>1691570897</v>
      </c>
      <c r="G53" s="179">
        <f>2571554+1577189700</f>
        <v>1579761254</v>
      </c>
      <c r="H53" s="33"/>
      <c r="I53" s="36"/>
      <c r="J53" s="36"/>
      <c r="K53" s="36"/>
      <c r="L53" s="36"/>
      <c r="M53" s="33">
        <f t="shared" si="17"/>
        <v>1691570897</v>
      </c>
      <c r="N53" s="36">
        <f t="shared" si="18"/>
        <v>1579761254</v>
      </c>
      <c r="O53" s="182">
        <f t="shared" si="19"/>
        <v>111809643</v>
      </c>
      <c r="P53" s="187">
        <f t="shared" si="15"/>
        <v>0.93390188776698968</v>
      </c>
      <c r="Q53" s="5"/>
      <c r="R53" s="5"/>
    </row>
    <row r="54" spans="1:18" s="32" customFormat="1" ht="25.5" customHeight="1" x14ac:dyDescent="0.2">
      <c r="A54" s="33" t="s">
        <v>275</v>
      </c>
      <c r="B54" s="35" t="s">
        <v>40</v>
      </c>
      <c r="C54" s="36"/>
      <c r="D54" s="36">
        <v>1500000000</v>
      </c>
      <c r="E54" s="36"/>
      <c r="F54" s="36">
        <f t="shared" si="16"/>
        <v>1500000000</v>
      </c>
      <c r="G54" s="36">
        <v>1013145731</v>
      </c>
      <c r="H54" s="33"/>
      <c r="I54" s="36"/>
      <c r="J54" s="36"/>
      <c r="K54" s="36"/>
      <c r="L54" s="36"/>
      <c r="M54" s="33">
        <f t="shared" si="17"/>
        <v>1500000000</v>
      </c>
      <c r="N54" s="36">
        <f t="shared" si="18"/>
        <v>1013145731</v>
      </c>
      <c r="O54" s="182">
        <f t="shared" si="19"/>
        <v>486854269</v>
      </c>
      <c r="P54" s="187">
        <f t="shared" si="15"/>
        <v>0.67543048733333333</v>
      </c>
      <c r="Q54" s="5"/>
      <c r="R54" s="5"/>
    </row>
    <row r="55" spans="1:18" s="32" customFormat="1" ht="25.5" customHeight="1" x14ac:dyDescent="0.2">
      <c r="A55" s="33" t="s">
        <v>92</v>
      </c>
      <c r="B55" s="35" t="s">
        <v>93</v>
      </c>
      <c r="C55" s="36">
        <v>55000000</v>
      </c>
      <c r="D55" s="36"/>
      <c r="E55" s="36"/>
      <c r="F55" s="36">
        <f t="shared" si="16"/>
        <v>55000000</v>
      </c>
      <c r="G55" s="36">
        <v>0</v>
      </c>
      <c r="H55" s="33"/>
      <c r="I55" s="36"/>
      <c r="J55" s="36"/>
      <c r="K55" s="36"/>
      <c r="L55" s="36"/>
      <c r="M55" s="33">
        <f t="shared" si="17"/>
        <v>55000000</v>
      </c>
      <c r="N55" s="36">
        <f t="shared" si="18"/>
        <v>0</v>
      </c>
      <c r="O55" s="182">
        <f t="shared" si="19"/>
        <v>55000000</v>
      </c>
      <c r="P55" s="187">
        <f t="shared" si="15"/>
        <v>0</v>
      </c>
      <c r="Q55" s="5"/>
      <c r="R55" s="5"/>
    </row>
    <row r="56" spans="1:18" s="32" customFormat="1" ht="21.75" customHeight="1" x14ac:dyDescent="0.2">
      <c r="A56" s="33" t="s">
        <v>51</v>
      </c>
      <c r="B56" s="35" t="s">
        <v>41</v>
      </c>
      <c r="C56" s="36">
        <f>379593751+343872819</f>
        <v>723466570</v>
      </c>
      <c r="D56" s="36"/>
      <c r="E56" s="36"/>
      <c r="F56" s="36">
        <f t="shared" si="16"/>
        <v>723466570</v>
      </c>
      <c r="G56" s="36">
        <f>61345426+326255522</f>
        <v>387600948</v>
      </c>
      <c r="H56" s="33"/>
      <c r="I56" s="36"/>
      <c r="J56" s="36"/>
      <c r="K56" s="36"/>
      <c r="L56" s="36"/>
      <c r="M56" s="33">
        <f t="shared" si="17"/>
        <v>723466570</v>
      </c>
      <c r="N56" s="36">
        <f t="shared" si="18"/>
        <v>387600948</v>
      </c>
      <c r="O56" s="182">
        <f t="shared" si="19"/>
        <v>335865622</v>
      </c>
      <c r="P56" s="187">
        <f t="shared" si="15"/>
        <v>0.53575516004837653</v>
      </c>
      <c r="Q56" s="5"/>
      <c r="R56" s="5"/>
    </row>
    <row r="57" spans="1:18" s="32" customFormat="1" ht="21.75" customHeight="1" x14ac:dyDescent="0.2">
      <c r="A57" s="33" t="s">
        <v>277</v>
      </c>
      <c r="B57" s="35" t="s">
        <v>41</v>
      </c>
      <c r="C57" s="36"/>
      <c r="D57" s="36">
        <v>250000000</v>
      </c>
      <c r="E57" s="36"/>
      <c r="F57" s="36">
        <f t="shared" si="16"/>
        <v>250000000</v>
      </c>
      <c r="G57" s="36">
        <v>140100676</v>
      </c>
      <c r="H57" s="33"/>
      <c r="I57" s="36"/>
      <c r="J57" s="36"/>
      <c r="K57" s="36"/>
      <c r="L57" s="36"/>
      <c r="M57" s="33">
        <f t="shared" si="17"/>
        <v>250000000</v>
      </c>
      <c r="N57" s="36">
        <f t="shared" si="18"/>
        <v>140100676</v>
      </c>
      <c r="O57" s="182">
        <f t="shared" si="19"/>
        <v>109899324</v>
      </c>
      <c r="P57" s="187">
        <f t="shared" si="15"/>
        <v>0.56040270400000003</v>
      </c>
      <c r="Q57" s="5"/>
      <c r="R57" s="5"/>
    </row>
    <row r="58" spans="1:18" s="32" customFormat="1" ht="13.15" customHeight="1" x14ac:dyDescent="0.2">
      <c r="A58" s="33"/>
      <c r="B58" s="35"/>
      <c r="C58" s="36"/>
      <c r="D58" s="36"/>
      <c r="E58" s="36"/>
      <c r="F58" s="36"/>
      <c r="G58" s="36"/>
      <c r="H58" s="33"/>
      <c r="I58" s="36"/>
      <c r="J58" s="36"/>
      <c r="K58" s="36"/>
      <c r="L58" s="36"/>
      <c r="M58" s="33"/>
      <c r="N58" s="36"/>
      <c r="O58" s="182"/>
      <c r="P58" s="184"/>
      <c r="Q58" s="5"/>
      <c r="R58" s="5"/>
    </row>
    <row r="59" spans="1:18" s="32" customFormat="1" ht="36" customHeight="1" x14ac:dyDescent="0.2">
      <c r="A59" s="31"/>
      <c r="B59" s="34" t="s">
        <v>79</v>
      </c>
      <c r="C59" s="88">
        <f>SUM(C60:C66)</f>
        <v>15428111154</v>
      </c>
      <c r="D59" s="88">
        <f t="shared" ref="D59:N59" si="20">SUM(D60:D66)</f>
        <v>3124879677.2900004</v>
      </c>
      <c r="E59" s="88">
        <f t="shared" si="20"/>
        <v>1928714084.5599999</v>
      </c>
      <c r="F59" s="88">
        <f t="shared" si="20"/>
        <v>16624276746.73</v>
      </c>
      <c r="G59" s="88">
        <f t="shared" si="20"/>
        <v>13144538218</v>
      </c>
      <c r="H59" s="31">
        <f t="shared" si="20"/>
        <v>0</v>
      </c>
      <c r="I59" s="88">
        <f t="shared" si="20"/>
        <v>0</v>
      </c>
      <c r="J59" s="88">
        <f t="shared" si="20"/>
        <v>0</v>
      </c>
      <c r="K59" s="88">
        <f t="shared" si="20"/>
        <v>0</v>
      </c>
      <c r="L59" s="88">
        <f t="shared" si="20"/>
        <v>0</v>
      </c>
      <c r="M59" s="199">
        <f t="shared" si="20"/>
        <v>16624276746.73</v>
      </c>
      <c r="N59" s="52">
        <f t="shared" si="20"/>
        <v>13144538218</v>
      </c>
      <c r="O59" s="52">
        <f>SUM(O60:O66)</f>
        <v>3479738528.7300005</v>
      </c>
      <c r="P59" s="190">
        <f t="shared" ref="P59:P65" si="21">+N59/M59</f>
        <v>0.79068331322056074</v>
      </c>
      <c r="Q59" s="5"/>
      <c r="R59" s="5"/>
    </row>
    <row r="60" spans="1:18" s="32" customFormat="1" ht="23.25" customHeight="1" x14ac:dyDescent="0.2">
      <c r="A60" s="33" t="s">
        <v>52</v>
      </c>
      <c r="B60" s="35" t="s">
        <v>57</v>
      </c>
      <c r="C60" s="36">
        <v>2274677977</v>
      </c>
      <c r="D60" s="36"/>
      <c r="E60" s="36"/>
      <c r="F60" s="36">
        <f t="shared" ref="F60:F66" si="22">+C60+D60-E60</f>
        <v>2274677977</v>
      </c>
      <c r="G60" s="36">
        <v>0</v>
      </c>
      <c r="H60" s="33"/>
      <c r="I60" s="36"/>
      <c r="J60" s="36"/>
      <c r="K60" s="36"/>
      <c r="L60" s="36"/>
      <c r="M60" s="33">
        <f t="shared" ref="M60:N66" si="23">+K60+F60</f>
        <v>2274677977</v>
      </c>
      <c r="N60" s="36">
        <f t="shared" si="23"/>
        <v>0</v>
      </c>
      <c r="O60" s="182">
        <f t="shared" ref="O60:O66" si="24">+M60-N60</f>
        <v>2274677977</v>
      </c>
      <c r="P60" s="187">
        <f t="shared" si="21"/>
        <v>0</v>
      </c>
      <c r="Q60" s="5"/>
      <c r="R60" s="5"/>
    </row>
    <row r="61" spans="1:18" s="32" customFormat="1" ht="23.25" customHeight="1" x14ac:dyDescent="0.2">
      <c r="A61" s="33" t="s">
        <v>278</v>
      </c>
      <c r="B61" s="35" t="s">
        <v>57</v>
      </c>
      <c r="C61" s="36"/>
      <c r="D61" s="36">
        <f>194405135.1+1104088909.63+1638715822.53</f>
        <v>2937209867.2600002</v>
      </c>
      <c r="E61" s="36">
        <f>144000000+1638715822.53</f>
        <v>1782715822.53</v>
      </c>
      <c r="F61" s="36">
        <f t="shared" si="22"/>
        <v>1154494044.7300003</v>
      </c>
      <c r="G61" s="36">
        <v>0</v>
      </c>
      <c r="H61" s="33"/>
      <c r="I61" s="36"/>
      <c r="J61" s="36"/>
      <c r="K61" s="36"/>
      <c r="L61" s="36"/>
      <c r="M61" s="33">
        <f t="shared" si="23"/>
        <v>1154494044.7300003</v>
      </c>
      <c r="N61" s="36">
        <f t="shared" si="23"/>
        <v>0</v>
      </c>
      <c r="O61" s="182">
        <f t="shared" si="24"/>
        <v>1154494044.7300003</v>
      </c>
      <c r="P61" s="187">
        <f t="shared" si="21"/>
        <v>0</v>
      </c>
      <c r="Q61" s="5"/>
      <c r="R61" s="5"/>
    </row>
    <row r="62" spans="1:18" s="32" customFormat="1" ht="22.5" customHeight="1" x14ac:dyDescent="0.2">
      <c r="A62" s="33" t="s">
        <v>53</v>
      </c>
      <c r="B62" s="35" t="s">
        <v>44</v>
      </c>
      <c r="C62" s="36">
        <f>47561788+352438212</f>
        <v>400000000</v>
      </c>
      <c r="D62" s="36"/>
      <c r="E62" s="36"/>
      <c r="F62" s="36">
        <f t="shared" si="22"/>
        <v>400000000</v>
      </c>
      <c r="G62" s="36">
        <f>41015500+352438212</f>
        <v>393453712</v>
      </c>
      <c r="H62" s="33"/>
      <c r="I62" s="36"/>
      <c r="J62" s="36"/>
      <c r="K62" s="36"/>
      <c r="L62" s="36"/>
      <c r="M62" s="33">
        <f t="shared" si="23"/>
        <v>400000000</v>
      </c>
      <c r="N62" s="36">
        <f t="shared" si="23"/>
        <v>393453712</v>
      </c>
      <c r="O62" s="182">
        <f t="shared" si="24"/>
        <v>6546288</v>
      </c>
      <c r="P62" s="187">
        <f t="shared" si="21"/>
        <v>0.98363427999999997</v>
      </c>
      <c r="Q62" s="5"/>
      <c r="R62" s="5"/>
    </row>
    <row r="63" spans="1:18" s="32" customFormat="1" ht="22.5" customHeight="1" x14ac:dyDescent="0.2">
      <c r="A63" s="33" t="s">
        <v>279</v>
      </c>
      <c r="B63" s="35" t="s">
        <v>44</v>
      </c>
      <c r="C63" s="36"/>
      <c r="D63" s="36">
        <v>105000000</v>
      </c>
      <c r="E63" s="36"/>
      <c r="F63" s="36">
        <f t="shared" si="22"/>
        <v>105000000</v>
      </c>
      <c r="G63" s="36">
        <v>105000000</v>
      </c>
      <c r="H63" s="33"/>
      <c r="I63" s="36"/>
      <c r="J63" s="36"/>
      <c r="K63" s="36"/>
      <c r="L63" s="36"/>
      <c r="M63" s="33">
        <f t="shared" si="23"/>
        <v>105000000</v>
      </c>
      <c r="N63" s="36">
        <f t="shared" si="23"/>
        <v>105000000</v>
      </c>
      <c r="O63" s="182">
        <f t="shared" si="24"/>
        <v>0</v>
      </c>
      <c r="P63" s="187">
        <f t="shared" si="21"/>
        <v>1</v>
      </c>
      <c r="Q63" s="5"/>
      <c r="R63" s="5"/>
    </row>
    <row r="64" spans="1:18" s="32" customFormat="1" ht="27.75" customHeight="1" x14ac:dyDescent="0.2">
      <c r="A64" s="33" t="s">
        <v>54</v>
      </c>
      <c r="B64" s="35" t="s">
        <v>55</v>
      </c>
      <c r="C64" s="36">
        <v>12723433177</v>
      </c>
      <c r="D64" s="36"/>
      <c r="E64" s="36">
        <v>55998262</v>
      </c>
      <c r="F64" s="36">
        <f t="shared" si="22"/>
        <v>12667434915</v>
      </c>
      <c r="G64" s="36">
        <v>12625084506</v>
      </c>
      <c r="H64" s="33"/>
      <c r="I64" s="36"/>
      <c r="J64" s="36"/>
      <c r="K64" s="36"/>
      <c r="L64" s="36"/>
      <c r="M64" s="33">
        <f t="shared" si="23"/>
        <v>12667434915</v>
      </c>
      <c r="N64" s="36">
        <f t="shared" si="23"/>
        <v>12625084506</v>
      </c>
      <c r="O64" s="182">
        <f t="shared" si="24"/>
        <v>42350409</v>
      </c>
      <c r="P64" s="187">
        <f t="shared" si="21"/>
        <v>0.99665674943000093</v>
      </c>
      <c r="Q64" s="5"/>
      <c r="R64" s="5"/>
    </row>
    <row r="65" spans="1:18" s="32" customFormat="1" ht="36" x14ac:dyDescent="0.2">
      <c r="A65" s="33" t="s">
        <v>56</v>
      </c>
      <c r="B65" s="35" t="s">
        <v>294</v>
      </c>
      <c r="C65" s="36">
        <v>30000000</v>
      </c>
      <c r="D65" s="36"/>
      <c r="E65" s="36">
        <v>7330190</v>
      </c>
      <c r="F65" s="36">
        <f t="shared" si="22"/>
        <v>22669810</v>
      </c>
      <c r="G65" s="36">
        <v>21000000</v>
      </c>
      <c r="H65" s="33"/>
      <c r="I65" s="36"/>
      <c r="J65" s="36"/>
      <c r="K65" s="36"/>
      <c r="L65" s="36"/>
      <c r="M65" s="33">
        <f t="shared" si="23"/>
        <v>22669810</v>
      </c>
      <c r="N65" s="36">
        <f t="shared" si="23"/>
        <v>21000000</v>
      </c>
      <c r="O65" s="182">
        <f t="shared" si="24"/>
        <v>1669810</v>
      </c>
      <c r="P65" s="187">
        <f t="shared" si="21"/>
        <v>0.92634212637865077</v>
      </c>
      <c r="Q65" s="5"/>
      <c r="R65" s="5"/>
    </row>
    <row r="66" spans="1:18" s="32" customFormat="1" ht="43.5" customHeight="1" x14ac:dyDescent="0.2">
      <c r="A66" s="33" t="s">
        <v>280</v>
      </c>
      <c r="B66" s="35" t="s">
        <v>294</v>
      </c>
      <c r="C66" s="36"/>
      <c r="D66" s="36">
        <v>82669810.030000001</v>
      </c>
      <c r="E66" s="36">
        <v>82669810.030000001</v>
      </c>
      <c r="F66" s="36">
        <f t="shared" si="22"/>
        <v>0</v>
      </c>
      <c r="G66" s="36">
        <v>0</v>
      </c>
      <c r="H66" s="33"/>
      <c r="I66" s="36"/>
      <c r="J66" s="36"/>
      <c r="K66" s="36"/>
      <c r="L66" s="36"/>
      <c r="M66" s="33">
        <f t="shared" si="23"/>
        <v>0</v>
      </c>
      <c r="N66" s="36">
        <f t="shared" si="23"/>
        <v>0</v>
      </c>
      <c r="O66" s="182">
        <f t="shared" si="24"/>
        <v>0</v>
      </c>
      <c r="P66" s="187"/>
      <c r="Q66" s="5"/>
      <c r="R66" s="5"/>
    </row>
    <row r="67" spans="1:18" s="32" customFormat="1" ht="13.15" customHeight="1" x14ac:dyDescent="0.2">
      <c r="A67" s="33"/>
      <c r="B67" s="35"/>
      <c r="C67" s="36"/>
      <c r="D67" s="36"/>
      <c r="E67" s="36"/>
      <c r="F67" s="36"/>
      <c r="G67" s="36"/>
      <c r="H67" s="33"/>
      <c r="I67" s="36"/>
      <c r="J67" s="36"/>
      <c r="K67" s="36"/>
      <c r="L67" s="36"/>
      <c r="M67" s="33"/>
      <c r="N67" s="36"/>
      <c r="O67" s="182"/>
      <c r="P67" s="184"/>
      <c r="Q67" s="5"/>
      <c r="R67" s="5"/>
    </row>
    <row r="68" spans="1:18" s="32" customFormat="1" ht="24" customHeight="1" x14ac:dyDescent="0.2">
      <c r="A68" s="31"/>
      <c r="B68" s="34" t="s">
        <v>14</v>
      </c>
      <c r="C68" s="88">
        <f>SUM(C69:C72)</f>
        <v>6362667983</v>
      </c>
      <c r="D68" s="88">
        <f t="shared" ref="D68:N68" si="25">SUM(D69:D72)</f>
        <v>3880474894.1100001</v>
      </c>
      <c r="E68" s="88">
        <f t="shared" si="25"/>
        <v>1713715821.74</v>
      </c>
      <c r="F68" s="88">
        <f t="shared" si="25"/>
        <v>8529427055.3699999</v>
      </c>
      <c r="G68" s="88">
        <f t="shared" si="25"/>
        <v>1300957966</v>
      </c>
      <c r="H68" s="31">
        <f t="shared" si="25"/>
        <v>0</v>
      </c>
      <c r="I68" s="88">
        <f t="shared" si="25"/>
        <v>0</v>
      </c>
      <c r="J68" s="88">
        <f t="shared" si="25"/>
        <v>0</v>
      </c>
      <c r="K68" s="88">
        <f t="shared" si="25"/>
        <v>0</v>
      </c>
      <c r="L68" s="88">
        <f t="shared" si="25"/>
        <v>0</v>
      </c>
      <c r="M68" s="199">
        <f t="shared" si="25"/>
        <v>8529427055.3699999</v>
      </c>
      <c r="N68" s="52">
        <f t="shared" si="25"/>
        <v>1300957966</v>
      </c>
      <c r="O68" s="52">
        <f>SUM(O69:O72)</f>
        <v>7228469089.3699999</v>
      </c>
      <c r="P68" s="190">
        <f>+N68/M68</f>
        <v>0.1525258329257809</v>
      </c>
      <c r="Q68" s="5"/>
      <c r="R68" s="5"/>
    </row>
    <row r="69" spans="1:18" s="32" customFormat="1" ht="19.5" customHeight="1" x14ac:dyDescent="0.2">
      <c r="A69" s="33" t="s">
        <v>58</v>
      </c>
      <c r="B69" s="35" t="s">
        <v>45</v>
      </c>
      <c r="C69" s="36">
        <v>500000000</v>
      </c>
      <c r="D69" s="36"/>
      <c r="E69" s="36"/>
      <c r="F69" s="36">
        <f t="shared" ref="F69:F72" si="26">+C69+D69-E69</f>
        <v>500000000</v>
      </c>
      <c r="G69" s="36">
        <v>0</v>
      </c>
      <c r="H69" s="33"/>
      <c r="I69" s="36"/>
      <c r="J69" s="36"/>
      <c r="K69" s="36"/>
      <c r="L69" s="36"/>
      <c r="M69" s="33">
        <f t="shared" ref="M69:N72" si="27">+K69+F69</f>
        <v>500000000</v>
      </c>
      <c r="N69" s="36">
        <f t="shared" si="27"/>
        <v>0</v>
      </c>
      <c r="O69" s="182">
        <f>+M69-N69</f>
        <v>500000000</v>
      </c>
      <c r="P69" s="187">
        <f>+N69/M69</f>
        <v>0</v>
      </c>
      <c r="Q69" s="5"/>
      <c r="R69" s="5"/>
    </row>
    <row r="70" spans="1:18" s="32" customFormat="1" ht="19.5" customHeight="1" x14ac:dyDescent="0.2">
      <c r="A70" s="33" t="s">
        <v>281</v>
      </c>
      <c r="B70" s="35" t="s">
        <v>45</v>
      </c>
      <c r="C70" s="36"/>
      <c r="D70" s="36">
        <v>3448265614.1500001</v>
      </c>
      <c r="E70" s="36">
        <v>1638715822.53</v>
      </c>
      <c r="F70" s="36">
        <f t="shared" si="26"/>
        <v>1809549791.6200001</v>
      </c>
      <c r="G70" s="36">
        <v>499987700</v>
      </c>
      <c r="H70" s="33"/>
      <c r="I70" s="36"/>
      <c r="J70" s="36"/>
      <c r="K70" s="36"/>
      <c r="L70" s="36"/>
      <c r="M70" s="33">
        <f t="shared" si="27"/>
        <v>1809549791.6200001</v>
      </c>
      <c r="N70" s="36">
        <f t="shared" si="27"/>
        <v>499987700</v>
      </c>
      <c r="O70" s="182">
        <f>+M70-N70</f>
        <v>1309562091.6200001</v>
      </c>
      <c r="P70" s="187">
        <f>+N70/M70</f>
        <v>0.27630502477214836</v>
      </c>
      <c r="Q70" s="5"/>
      <c r="R70" s="5"/>
    </row>
    <row r="71" spans="1:18" s="32" customFormat="1" ht="23.25" customHeight="1" x14ac:dyDescent="0.2">
      <c r="A71" s="33" t="s">
        <v>59</v>
      </c>
      <c r="B71" s="35" t="s">
        <v>46</v>
      </c>
      <c r="C71" s="36">
        <v>5862667983</v>
      </c>
      <c r="D71" s="36"/>
      <c r="E71" s="36"/>
      <c r="F71" s="36">
        <f t="shared" si="26"/>
        <v>5862667983</v>
      </c>
      <c r="G71" s="36">
        <f>270288702+200681564</f>
        <v>470970266</v>
      </c>
      <c r="H71" s="33"/>
      <c r="I71" s="36"/>
      <c r="J71" s="36"/>
      <c r="K71" s="36"/>
      <c r="L71" s="36"/>
      <c r="M71" s="33">
        <f t="shared" si="27"/>
        <v>5862667983</v>
      </c>
      <c r="N71" s="36">
        <f t="shared" si="27"/>
        <v>470970266</v>
      </c>
      <c r="O71" s="182">
        <f>+M71-N71</f>
        <v>5391697717</v>
      </c>
      <c r="P71" s="187">
        <f>+N71/M71</f>
        <v>8.0333777618939742E-2</v>
      </c>
      <c r="Q71" s="5"/>
      <c r="R71" s="5"/>
    </row>
    <row r="72" spans="1:18" s="32" customFormat="1" ht="23.25" customHeight="1" x14ac:dyDescent="0.2">
      <c r="A72" s="33" t="s">
        <v>282</v>
      </c>
      <c r="B72" s="35" t="s">
        <v>46</v>
      </c>
      <c r="C72" s="36"/>
      <c r="D72" s="36">
        <v>432209279.95999998</v>
      </c>
      <c r="E72" s="36">
        <v>74999999.209999993</v>
      </c>
      <c r="F72" s="36">
        <f t="shared" si="26"/>
        <v>357209280.75</v>
      </c>
      <c r="G72" s="36">
        <v>330000000</v>
      </c>
      <c r="H72" s="33"/>
      <c r="I72" s="36"/>
      <c r="J72" s="36"/>
      <c r="K72" s="36"/>
      <c r="L72" s="36"/>
      <c r="M72" s="33">
        <f t="shared" si="27"/>
        <v>357209280.75</v>
      </c>
      <c r="N72" s="36">
        <f t="shared" si="27"/>
        <v>330000000</v>
      </c>
      <c r="O72" s="182">
        <f>+M72-N72</f>
        <v>27209280.75</v>
      </c>
      <c r="P72" s="187">
        <f>+N72/M72</f>
        <v>0.92382818079958295</v>
      </c>
      <c r="Q72" s="5"/>
      <c r="R72" s="5"/>
    </row>
    <row r="73" spans="1:18" s="32" customFormat="1" ht="13.15" customHeight="1" x14ac:dyDescent="0.2">
      <c r="A73" s="33"/>
      <c r="B73" s="35"/>
      <c r="C73" s="36"/>
      <c r="D73" s="36"/>
      <c r="E73" s="36"/>
      <c r="F73" s="36"/>
      <c r="G73" s="36"/>
      <c r="H73" s="33"/>
      <c r="I73" s="36"/>
      <c r="J73" s="36"/>
      <c r="K73" s="36"/>
      <c r="L73" s="36"/>
      <c r="M73" s="33"/>
      <c r="N73" s="36"/>
      <c r="O73" s="182"/>
      <c r="P73" s="184"/>
      <c r="Q73" s="5"/>
      <c r="R73" s="5"/>
    </row>
    <row r="74" spans="1:18" s="32" customFormat="1" ht="24" customHeight="1" x14ac:dyDescent="0.2">
      <c r="A74" s="31"/>
      <c r="B74" s="34" t="s">
        <v>80</v>
      </c>
      <c r="C74" s="88">
        <f>+C75</f>
        <v>25000000</v>
      </c>
      <c r="D74" s="88">
        <f>+D75</f>
        <v>0</v>
      </c>
      <c r="E74" s="88">
        <f>+E75</f>
        <v>0</v>
      </c>
      <c r="F74" s="88">
        <f t="shared" ref="F74:N74" si="28">+F75</f>
        <v>25000000</v>
      </c>
      <c r="G74" s="88">
        <f t="shared" si="28"/>
        <v>25000000</v>
      </c>
      <c r="H74" s="31">
        <f t="shared" si="28"/>
        <v>0</v>
      </c>
      <c r="I74" s="88">
        <f t="shared" si="28"/>
        <v>0</v>
      </c>
      <c r="J74" s="88"/>
      <c r="K74" s="88">
        <f t="shared" si="28"/>
        <v>0</v>
      </c>
      <c r="L74" s="88">
        <f t="shared" si="28"/>
        <v>0</v>
      </c>
      <c r="M74" s="31">
        <f t="shared" si="28"/>
        <v>25000000</v>
      </c>
      <c r="N74" s="52">
        <f t="shared" si="28"/>
        <v>25000000</v>
      </c>
      <c r="O74" s="88">
        <f>+O75</f>
        <v>0</v>
      </c>
      <c r="P74" s="190">
        <f>+N74/M74</f>
        <v>1</v>
      </c>
      <c r="Q74" s="5"/>
      <c r="R74" s="5"/>
    </row>
    <row r="75" spans="1:18" s="32" customFormat="1" ht="26.25" customHeight="1" x14ac:dyDescent="0.2">
      <c r="A75" s="33" t="s">
        <v>61</v>
      </c>
      <c r="B75" s="35" t="s">
        <v>60</v>
      </c>
      <c r="C75" s="36">
        <v>25000000</v>
      </c>
      <c r="D75" s="36"/>
      <c r="E75" s="36"/>
      <c r="F75" s="36">
        <f t="shared" ref="F75" si="29">+C75+D75-E75</f>
        <v>25000000</v>
      </c>
      <c r="G75" s="36">
        <v>25000000</v>
      </c>
      <c r="H75" s="33"/>
      <c r="I75" s="36"/>
      <c r="J75" s="36"/>
      <c r="K75" s="36"/>
      <c r="L75" s="36"/>
      <c r="M75" s="33">
        <f>+K75+F75</f>
        <v>25000000</v>
      </c>
      <c r="N75" s="36">
        <f>+L75+G75</f>
        <v>25000000</v>
      </c>
      <c r="O75" s="182">
        <f>+M75-N75</f>
        <v>0</v>
      </c>
      <c r="P75" s="187">
        <f>+N75/M75</f>
        <v>1</v>
      </c>
      <c r="Q75" s="5"/>
      <c r="R75" s="5"/>
    </row>
    <row r="76" spans="1:18" s="32" customFormat="1" ht="13.15" customHeight="1" x14ac:dyDescent="0.2">
      <c r="A76" s="33"/>
      <c r="B76" s="35"/>
      <c r="C76" s="36"/>
      <c r="D76" s="36"/>
      <c r="E76" s="36"/>
      <c r="F76" s="36"/>
      <c r="G76" s="36"/>
      <c r="H76" s="33"/>
      <c r="I76" s="36"/>
      <c r="J76" s="36"/>
      <c r="K76" s="36"/>
      <c r="L76" s="36"/>
      <c r="M76" s="33"/>
      <c r="N76" s="36"/>
      <c r="O76" s="182"/>
      <c r="P76" s="184"/>
      <c r="Q76" s="5"/>
      <c r="R76" s="5"/>
    </row>
    <row r="77" spans="1:18" s="32" customFormat="1" ht="24" customHeight="1" x14ac:dyDescent="0.2">
      <c r="A77" s="31"/>
      <c r="B77" s="34" t="s">
        <v>84</v>
      </c>
      <c r="C77" s="88">
        <f>SUM(C78:C81)</f>
        <v>6441253047</v>
      </c>
      <c r="D77" s="88">
        <f t="shared" ref="D77:N77" si="30">SUM(D78:D81)</f>
        <v>2520000000</v>
      </c>
      <c r="E77" s="88">
        <f t="shared" si="30"/>
        <v>20000000</v>
      </c>
      <c r="F77" s="88">
        <f t="shared" si="30"/>
        <v>8941253047</v>
      </c>
      <c r="G77" s="88">
        <f t="shared" si="30"/>
        <v>4615095301</v>
      </c>
      <c r="H77" s="31">
        <f t="shared" si="30"/>
        <v>0</v>
      </c>
      <c r="I77" s="88">
        <f t="shared" si="30"/>
        <v>0</v>
      </c>
      <c r="J77" s="88">
        <f t="shared" si="30"/>
        <v>0</v>
      </c>
      <c r="K77" s="88">
        <f t="shared" si="30"/>
        <v>0</v>
      </c>
      <c r="L77" s="88">
        <f t="shared" si="30"/>
        <v>0</v>
      </c>
      <c r="M77" s="199">
        <f t="shared" si="30"/>
        <v>8941253047</v>
      </c>
      <c r="N77" s="52">
        <f t="shared" si="30"/>
        <v>4615095301</v>
      </c>
      <c r="O77" s="52">
        <f>SUM(O78:O81)</f>
        <v>4326157746</v>
      </c>
      <c r="P77" s="190">
        <f>+N77/M77</f>
        <v>0.51615755383955642</v>
      </c>
      <c r="Q77" s="5"/>
      <c r="R77" s="5"/>
    </row>
    <row r="78" spans="1:18" s="32" customFormat="1" ht="24" customHeight="1" x14ac:dyDescent="0.2">
      <c r="A78" s="33" t="s">
        <v>94</v>
      </c>
      <c r="B78" s="35" t="s">
        <v>99</v>
      </c>
      <c r="C78" s="36">
        <v>100000000</v>
      </c>
      <c r="D78" s="36"/>
      <c r="E78" s="36"/>
      <c r="F78" s="36">
        <f t="shared" ref="F78:F80" si="31">+C78+D78-E78</f>
        <v>100000000</v>
      </c>
      <c r="G78" s="36">
        <v>0</v>
      </c>
      <c r="H78" s="33"/>
      <c r="I78" s="36"/>
      <c r="J78" s="36"/>
      <c r="K78" s="36"/>
      <c r="L78" s="36"/>
      <c r="M78" s="33">
        <f t="shared" ref="M78:N81" si="32">+K78+F78</f>
        <v>100000000</v>
      </c>
      <c r="N78" s="36">
        <f t="shared" si="32"/>
        <v>0</v>
      </c>
      <c r="O78" s="182">
        <f>+M78-N78</f>
        <v>100000000</v>
      </c>
      <c r="P78" s="187">
        <f>+N78/M78</f>
        <v>0</v>
      </c>
      <c r="Q78" s="5"/>
      <c r="R78" s="5"/>
    </row>
    <row r="79" spans="1:18" s="32" customFormat="1" ht="24" customHeight="1" x14ac:dyDescent="0.2">
      <c r="A79" s="33" t="s">
        <v>70</v>
      </c>
      <c r="B79" s="35" t="s">
        <v>69</v>
      </c>
      <c r="C79" s="36">
        <v>520000000</v>
      </c>
      <c r="D79" s="36"/>
      <c r="E79" s="36"/>
      <c r="F79" s="36">
        <f t="shared" si="31"/>
        <v>520000000</v>
      </c>
      <c r="G79" s="36">
        <f>499961500+5000000</f>
        <v>504961500</v>
      </c>
      <c r="H79" s="33"/>
      <c r="I79" s="36"/>
      <c r="J79" s="36"/>
      <c r="K79" s="36"/>
      <c r="L79" s="36"/>
      <c r="M79" s="33">
        <f t="shared" si="32"/>
        <v>520000000</v>
      </c>
      <c r="N79" s="36">
        <f t="shared" si="32"/>
        <v>504961500</v>
      </c>
      <c r="O79" s="182">
        <f>+M79-N79</f>
        <v>15038500</v>
      </c>
      <c r="P79" s="187">
        <f>+N79/M79</f>
        <v>0.97107980769230773</v>
      </c>
      <c r="Q79" s="5"/>
      <c r="R79" s="5"/>
    </row>
    <row r="80" spans="1:18" s="32" customFormat="1" ht="24" customHeight="1" x14ac:dyDescent="0.2">
      <c r="A80" s="33" t="s">
        <v>71</v>
      </c>
      <c r="B80" s="35" t="s">
        <v>63</v>
      </c>
      <c r="C80" s="36">
        <v>150000000</v>
      </c>
      <c r="D80" s="36"/>
      <c r="E80" s="36"/>
      <c r="F80" s="36">
        <f t="shared" si="31"/>
        <v>150000000</v>
      </c>
      <c r="G80" s="36">
        <f>30000000+70000000</f>
        <v>100000000</v>
      </c>
      <c r="H80" s="33"/>
      <c r="I80" s="36"/>
      <c r="J80" s="36"/>
      <c r="K80" s="36"/>
      <c r="L80" s="36"/>
      <c r="M80" s="33">
        <f t="shared" si="32"/>
        <v>150000000</v>
      </c>
      <c r="N80" s="36">
        <f t="shared" si="32"/>
        <v>100000000</v>
      </c>
      <c r="O80" s="182">
        <f>+M80-N80</f>
        <v>50000000</v>
      </c>
      <c r="P80" s="187">
        <f>+N80/M80</f>
        <v>0.66666666666666663</v>
      </c>
      <c r="Q80" s="5"/>
      <c r="R80" s="5"/>
    </row>
    <row r="81" spans="1:18" s="32" customFormat="1" ht="23.25" customHeight="1" x14ac:dyDescent="0.2">
      <c r="A81" s="33" t="s">
        <v>72</v>
      </c>
      <c r="B81" s="35" t="s">
        <v>64</v>
      </c>
      <c r="C81" s="36">
        <v>5671253047</v>
      </c>
      <c r="D81" s="36">
        <f>2500000000+20000000</f>
        <v>2520000000</v>
      </c>
      <c r="E81" s="36">
        <v>20000000</v>
      </c>
      <c r="F81" s="36">
        <f>+C81+D81-E81</f>
        <v>8171253047</v>
      </c>
      <c r="G81" s="36">
        <f>301409301+3708724500</f>
        <v>4010133801</v>
      </c>
      <c r="H81" s="33"/>
      <c r="I81" s="36"/>
      <c r="J81" s="36"/>
      <c r="K81" s="36"/>
      <c r="L81" s="36"/>
      <c r="M81" s="33">
        <f t="shared" si="32"/>
        <v>8171253047</v>
      </c>
      <c r="N81" s="36">
        <f t="shared" si="32"/>
        <v>4010133801</v>
      </c>
      <c r="O81" s="182">
        <f>+M81-N81</f>
        <v>4161119246</v>
      </c>
      <c r="P81" s="187">
        <f>+N81/M81</f>
        <v>0.49076118166139571</v>
      </c>
      <c r="Q81" s="5"/>
      <c r="R81" s="5"/>
    </row>
    <row r="82" spans="1:18" s="32" customFormat="1" ht="13.15" customHeight="1" x14ac:dyDescent="0.2">
      <c r="A82" s="33"/>
      <c r="B82" s="35"/>
      <c r="C82" s="36"/>
      <c r="D82" s="36"/>
      <c r="E82" s="36"/>
      <c r="F82" s="36"/>
      <c r="G82" s="36"/>
      <c r="H82" s="33"/>
      <c r="I82" s="36"/>
      <c r="J82" s="36"/>
      <c r="K82" s="36"/>
      <c r="L82" s="36"/>
      <c r="M82" s="33">
        <f>+K82+F82</f>
        <v>0</v>
      </c>
      <c r="N82" s="36"/>
      <c r="O82" s="182"/>
      <c r="P82" s="184"/>
      <c r="Q82" s="5"/>
      <c r="R82" s="5"/>
    </row>
    <row r="83" spans="1:18" s="32" customFormat="1" ht="37.5" customHeight="1" x14ac:dyDescent="0.2">
      <c r="A83" s="31"/>
      <c r="B83" s="34" t="s">
        <v>85</v>
      </c>
      <c r="C83" s="88">
        <f>SUM(C84:C86)</f>
        <v>342957157</v>
      </c>
      <c r="D83" s="88">
        <f t="shared" ref="D83:N83" si="33">SUM(D84:D86)</f>
        <v>190197992.72</v>
      </c>
      <c r="E83" s="88">
        <f t="shared" si="33"/>
        <v>40000000</v>
      </c>
      <c r="F83" s="88">
        <f t="shared" si="33"/>
        <v>493155149.72000003</v>
      </c>
      <c r="G83" s="88">
        <f t="shared" si="33"/>
        <v>0</v>
      </c>
      <c r="H83" s="31">
        <f t="shared" si="33"/>
        <v>0</v>
      </c>
      <c r="I83" s="88">
        <f t="shared" si="33"/>
        <v>0</v>
      </c>
      <c r="J83" s="88">
        <f t="shared" si="33"/>
        <v>0</v>
      </c>
      <c r="K83" s="88">
        <f t="shared" si="33"/>
        <v>0</v>
      </c>
      <c r="L83" s="88">
        <f t="shared" si="33"/>
        <v>0</v>
      </c>
      <c r="M83" s="199">
        <f t="shared" si="33"/>
        <v>493155149.72000003</v>
      </c>
      <c r="N83" s="52">
        <f t="shared" si="33"/>
        <v>0</v>
      </c>
      <c r="O83" s="52">
        <f>SUM(O84:O86)</f>
        <v>493155149.72000003</v>
      </c>
      <c r="P83" s="190">
        <f>+N83/M83</f>
        <v>0</v>
      </c>
      <c r="Q83" s="5"/>
      <c r="R83" s="5"/>
    </row>
    <row r="84" spans="1:18" s="32" customFormat="1" ht="37.5" customHeight="1" x14ac:dyDescent="0.2">
      <c r="A84" s="33" t="s">
        <v>95</v>
      </c>
      <c r="B84" s="35" t="s">
        <v>96</v>
      </c>
      <c r="C84" s="36">
        <v>100000000</v>
      </c>
      <c r="D84" s="36"/>
      <c r="E84" s="36"/>
      <c r="F84" s="36">
        <f t="shared" ref="F84:F86" si="34">+C84+D84-E84</f>
        <v>100000000</v>
      </c>
      <c r="G84" s="36">
        <v>0</v>
      </c>
      <c r="H84" s="33"/>
      <c r="I84" s="36"/>
      <c r="J84" s="36"/>
      <c r="K84" s="36"/>
      <c r="L84" s="36"/>
      <c r="M84" s="33">
        <f t="shared" ref="M84:N86" si="35">+K84+F84</f>
        <v>100000000</v>
      </c>
      <c r="N84" s="36">
        <f t="shared" si="35"/>
        <v>0</v>
      </c>
      <c r="O84" s="182">
        <f>+M84-N84</f>
        <v>100000000</v>
      </c>
      <c r="P84" s="187">
        <f>+N84/M84</f>
        <v>0</v>
      </c>
      <c r="Q84" s="5"/>
      <c r="R84" s="5"/>
    </row>
    <row r="85" spans="1:18" s="32" customFormat="1" ht="23.25" customHeight="1" x14ac:dyDescent="0.2">
      <c r="A85" s="33" t="s">
        <v>73</v>
      </c>
      <c r="B85" s="35" t="s">
        <v>62</v>
      </c>
      <c r="C85" s="36">
        <v>242957157</v>
      </c>
      <c r="D85" s="36"/>
      <c r="E85" s="36"/>
      <c r="F85" s="36">
        <f t="shared" si="34"/>
        <v>242957157</v>
      </c>
      <c r="G85" s="36">
        <v>0</v>
      </c>
      <c r="H85" s="33"/>
      <c r="I85" s="36"/>
      <c r="J85" s="36"/>
      <c r="K85" s="36"/>
      <c r="L85" s="36"/>
      <c r="M85" s="33">
        <f t="shared" si="35"/>
        <v>242957157</v>
      </c>
      <c r="N85" s="36">
        <f t="shared" si="35"/>
        <v>0</v>
      </c>
      <c r="O85" s="182">
        <f>+M85-N85</f>
        <v>242957157</v>
      </c>
      <c r="P85" s="187">
        <f>+N85/M85</f>
        <v>0</v>
      </c>
      <c r="Q85" s="5"/>
      <c r="R85" s="5"/>
    </row>
    <row r="86" spans="1:18" s="32" customFormat="1" ht="23.25" customHeight="1" x14ac:dyDescent="0.2">
      <c r="A86" s="33" t="s">
        <v>283</v>
      </c>
      <c r="B86" s="35" t="s">
        <v>62</v>
      </c>
      <c r="C86" s="36"/>
      <c r="D86" s="36">
        <f>150000000+40197992.72</f>
        <v>190197992.72</v>
      </c>
      <c r="E86" s="36">
        <v>40000000</v>
      </c>
      <c r="F86" s="36">
        <f t="shared" si="34"/>
        <v>150197992.72</v>
      </c>
      <c r="G86" s="36">
        <v>0</v>
      </c>
      <c r="H86" s="33"/>
      <c r="I86" s="36"/>
      <c r="J86" s="36"/>
      <c r="K86" s="36"/>
      <c r="L86" s="36"/>
      <c r="M86" s="33">
        <f t="shared" si="35"/>
        <v>150197992.72</v>
      </c>
      <c r="N86" s="36">
        <f t="shared" si="35"/>
        <v>0</v>
      </c>
      <c r="O86" s="182">
        <f>+M86-N86</f>
        <v>150197992.72</v>
      </c>
      <c r="P86" s="187">
        <f>+N86/M86</f>
        <v>0</v>
      </c>
      <c r="Q86" s="5"/>
      <c r="R86" s="5"/>
    </row>
    <row r="87" spans="1:18" s="32" customFormat="1" ht="13.15" customHeight="1" x14ac:dyDescent="0.2">
      <c r="A87" s="33"/>
      <c r="B87" s="35"/>
      <c r="C87" s="36"/>
      <c r="D87" s="36"/>
      <c r="E87" s="36"/>
      <c r="F87" s="36"/>
      <c r="G87" s="36"/>
      <c r="H87" s="33"/>
      <c r="I87" s="36"/>
      <c r="J87" s="36"/>
      <c r="K87" s="36"/>
      <c r="L87" s="36"/>
      <c r="M87" s="33"/>
      <c r="N87" s="36"/>
      <c r="O87" s="182"/>
      <c r="P87" s="184"/>
      <c r="Q87" s="5"/>
      <c r="R87" s="5"/>
    </row>
    <row r="88" spans="1:18" s="32" customFormat="1" ht="24.75" customHeight="1" x14ac:dyDescent="0.2">
      <c r="A88" s="31"/>
      <c r="B88" s="34" t="s">
        <v>81</v>
      </c>
      <c r="C88" s="88">
        <f>+C89+C90</f>
        <v>150000000</v>
      </c>
      <c r="D88" s="88">
        <f t="shared" ref="D88:N88" si="36">+D89+D90</f>
        <v>0</v>
      </c>
      <c r="E88" s="88">
        <f t="shared" si="36"/>
        <v>0</v>
      </c>
      <c r="F88" s="88">
        <f t="shared" si="36"/>
        <v>150000000</v>
      </c>
      <c r="G88" s="88">
        <f t="shared" si="36"/>
        <v>0</v>
      </c>
      <c r="H88" s="31">
        <f t="shared" si="36"/>
        <v>0</v>
      </c>
      <c r="I88" s="88">
        <f t="shared" si="36"/>
        <v>0</v>
      </c>
      <c r="J88" s="88">
        <f t="shared" si="36"/>
        <v>0</v>
      </c>
      <c r="K88" s="88">
        <f t="shared" si="36"/>
        <v>0</v>
      </c>
      <c r="L88" s="88">
        <f t="shared" si="36"/>
        <v>0</v>
      </c>
      <c r="M88" s="199">
        <f t="shared" si="36"/>
        <v>150000000</v>
      </c>
      <c r="N88" s="52">
        <f t="shared" si="36"/>
        <v>0</v>
      </c>
      <c r="O88" s="52">
        <f>+O89+O90</f>
        <v>150000000</v>
      </c>
      <c r="P88" s="190">
        <f t="shared" ref="P88:P98" si="37">+N88/M88</f>
        <v>0</v>
      </c>
      <c r="Q88" s="5"/>
      <c r="R88" s="5"/>
    </row>
    <row r="89" spans="1:18" s="32" customFormat="1" ht="23.25" customHeight="1" x14ac:dyDescent="0.2">
      <c r="A89" s="33" t="s">
        <v>74</v>
      </c>
      <c r="B89" s="35" t="s">
        <v>65</v>
      </c>
      <c r="C89" s="36">
        <v>100000000</v>
      </c>
      <c r="D89" s="36"/>
      <c r="E89" s="36"/>
      <c r="F89" s="36">
        <f t="shared" ref="F89:F98" si="38">+C89+D89-E89</f>
        <v>100000000</v>
      </c>
      <c r="G89" s="36">
        <v>0</v>
      </c>
      <c r="H89" s="33"/>
      <c r="I89" s="36"/>
      <c r="J89" s="36"/>
      <c r="K89" s="36"/>
      <c r="L89" s="36"/>
      <c r="M89" s="33">
        <f>+K89+F89</f>
        <v>100000000</v>
      </c>
      <c r="N89" s="36">
        <f>+L89+G89</f>
        <v>0</v>
      </c>
      <c r="O89" s="182">
        <f>+M89-N89</f>
        <v>100000000</v>
      </c>
      <c r="P89" s="187">
        <f t="shared" si="37"/>
        <v>0</v>
      </c>
      <c r="Q89" s="5"/>
      <c r="R89" s="5"/>
    </row>
    <row r="90" spans="1:18" s="32" customFormat="1" ht="24" customHeight="1" x14ac:dyDescent="0.2">
      <c r="A90" s="33" t="s">
        <v>97</v>
      </c>
      <c r="B90" s="35" t="s">
        <v>98</v>
      </c>
      <c r="C90" s="36">
        <v>50000000</v>
      </c>
      <c r="D90" s="36"/>
      <c r="E90" s="36"/>
      <c r="F90" s="36">
        <f t="shared" si="38"/>
        <v>50000000</v>
      </c>
      <c r="G90" s="36">
        <v>0</v>
      </c>
      <c r="H90" s="33"/>
      <c r="I90" s="36"/>
      <c r="J90" s="36"/>
      <c r="K90" s="36"/>
      <c r="L90" s="36"/>
      <c r="M90" s="33">
        <f>+K90+F90</f>
        <v>50000000</v>
      </c>
      <c r="N90" s="36">
        <f>+L90+G90</f>
        <v>0</v>
      </c>
      <c r="O90" s="182">
        <f>+M90-N90</f>
        <v>50000000</v>
      </c>
      <c r="P90" s="187">
        <f t="shared" si="37"/>
        <v>0</v>
      </c>
      <c r="Q90" s="5"/>
      <c r="R90" s="5"/>
    </row>
    <row r="91" spans="1:18" s="32" customFormat="1" ht="35.25" customHeight="1" x14ac:dyDescent="0.2">
      <c r="A91" s="31"/>
      <c r="B91" s="34" t="s">
        <v>82</v>
      </c>
      <c r="C91" s="88">
        <f>SUM(C92:C98)</f>
        <v>1030000000</v>
      </c>
      <c r="D91" s="88">
        <f t="shared" ref="D91:N91" si="39">SUM(D92:D98)</f>
        <v>1453000000</v>
      </c>
      <c r="E91" s="88">
        <f t="shared" si="39"/>
        <v>353000000</v>
      </c>
      <c r="F91" s="88">
        <f t="shared" si="39"/>
        <v>2130000000</v>
      </c>
      <c r="G91" s="88">
        <f t="shared" si="39"/>
        <v>1426303444</v>
      </c>
      <c r="H91" s="31">
        <f t="shared" si="39"/>
        <v>0</v>
      </c>
      <c r="I91" s="88">
        <f t="shared" si="39"/>
        <v>0</v>
      </c>
      <c r="J91" s="88">
        <f t="shared" si="39"/>
        <v>0</v>
      </c>
      <c r="K91" s="88">
        <f t="shared" si="39"/>
        <v>0</v>
      </c>
      <c r="L91" s="88">
        <f t="shared" si="39"/>
        <v>0</v>
      </c>
      <c r="M91" s="199">
        <f t="shared" si="39"/>
        <v>2130000000</v>
      </c>
      <c r="N91" s="52">
        <f t="shared" si="39"/>
        <v>1426303444</v>
      </c>
      <c r="O91" s="52">
        <f>SUM(O92:O98)</f>
        <v>703696556</v>
      </c>
      <c r="P91" s="191">
        <f t="shared" si="37"/>
        <v>0.66962603004694832</v>
      </c>
      <c r="Q91" s="5"/>
      <c r="R91" s="5"/>
    </row>
    <row r="92" spans="1:18" s="32" customFormat="1" ht="24" customHeight="1" x14ac:dyDescent="0.2">
      <c r="A92" s="33" t="s">
        <v>75</v>
      </c>
      <c r="B92" s="35" t="s">
        <v>66</v>
      </c>
      <c r="C92" s="36">
        <v>50000000</v>
      </c>
      <c r="D92" s="93">
        <v>0</v>
      </c>
      <c r="E92" s="93"/>
      <c r="F92" s="36">
        <f t="shared" si="38"/>
        <v>50000000</v>
      </c>
      <c r="G92" s="36">
        <f>40000000+10000000</f>
        <v>50000000</v>
      </c>
      <c r="H92" s="33"/>
      <c r="I92" s="36"/>
      <c r="J92" s="36"/>
      <c r="K92" s="36"/>
      <c r="L92" s="36"/>
      <c r="M92" s="33">
        <f t="shared" ref="M92:N98" si="40">+K92+F92</f>
        <v>50000000</v>
      </c>
      <c r="N92" s="36">
        <f t="shared" si="40"/>
        <v>50000000</v>
      </c>
      <c r="O92" s="182">
        <f t="shared" ref="O92:O98" si="41">+M92-N92</f>
        <v>0</v>
      </c>
      <c r="P92" s="187">
        <f t="shared" si="37"/>
        <v>1</v>
      </c>
      <c r="Q92" s="5"/>
      <c r="R92" s="5"/>
    </row>
    <row r="93" spans="1:18" s="32" customFormat="1" ht="24" customHeight="1" x14ac:dyDescent="0.2">
      <c r="A93" s="33" t="s">
        <v>272</v>
      </c>
      <c r="B93" s="35" t="s">
        <v>66</v>
      </c>
      <c r="C93" s="36"/>
      <c r="D93" s="36">
        <v>80000000</v>
      </c>
      <c r="E93" s="93"/>
      <c r="F93" s="36">
        <f t="shared" si="38"/>
        <v>80000000</v>
      </c>
      <c r="G93" s="36">
        <v>69635000</v>
      </c>
      <c r="H93" s="33"/>
      <c r="I93" s="36"/>
      <c r="J93" s="36"/>
      <c r="K93" s="36"/>
      <c r="L93" s="36"/>
      <c r="M93" s="33">
        <f t="shared" si="40"/>
        <v>80000000</v>
      </c>
      <c r="N93" s="36">
        <f t="shared" si="40"/>
        <v>69635000</v>
      </c>
      <c r="O93" s="182">
        <f t="shared" si="41"/>
        <v>10365000</v>
      </c>
      <c r="P93" s="187">
        <f t="shared" si="37"/>
        <v>0.87043749999999998</v>
      </c>
      <c r="Q93" s="5"/>
      <c r="R93" s="5"/>
    </row>
    <row r="94" spans="1:18" s="32" customFormat="1" ht="20.25" customHeight="1" x14ac:dyDescent="0.2">
      <c r="A94" s="33" t="s">
        <v>76</v>
      </c>
      <c r="B94" s="35" t="s">
        <v>67</v>
      </c>
      <c r="C94" s="36">
        <f>183505438+16494562</f>
        <v>200000000</v>
      </c>
      <c r="D94" s="36">
        <v>353000000</v>
      </c>
      <c r="E94" s="36">
        <v>353000000</v>
      </c>
      <c r="F94" s="36">
        <f t="shared" si="38"/>
        <v>200000000</v>
      </c>
      <c r="G94" s="36">
        <f>183505438+11494562</f>
        <v>195000000</v>
      </c>
      <c r="H94" s="33"/>
      <c r="I94" s="36"/>
      <c r="J94" s="36"/>
      <c r="K94" s="36"/>
      <c r="L94" s="36"/>
      <c r="M94" s="33">
        <f t="shared" si="40"/>
        <v>200000000</v>
      </c>
      <c r="N94" s="36">
        <f t="shared" si="40"/>
        <v>195000000</v>
      </c>
      <c r="O94" s="182">
        <f t="shared" si="41"/>
        <v>5000000</v>
      </c>
      <c r="P94" s="187">
        <f t="shared" si="37"/>
        <v>0.97499999999999998</v>
      </c>
      <c r="Q94" s="5"/>
      <c r="R94" s="5"/>
    </row>
    <row r="95" spans="1:18" s="32" customFormat="1" ht="20.25" customHeight="1" x14ac:dyDescent="0.2">
      <c r="A95" s="33" t="s">
        <v>273</v>
      </c>
      <c r="B95" s="35" t="s">
        <v>67</v>
      </c>
      <c r="C95" s="36"/>
      <c r="D95" s="36">
        <v>515000000</v>
      </c>
      <c r="E95" s="36"/>
      <c r="F95" s="36">
        <f t="shared" si="38"/>
        <v>515000000</v>
      </c>
      <c r="G95" s="36">
        <v>54758470</v>
      </c>
      <c r="H95" s="33"/>
      <c r="I95" s="36"/>
      <c r="J95" s="36"/>
      <c r="K95" s="36"/>
      <c r="L95" s="36"/>
      <c r="M95" s="33">
        <f t="shared" si="40"/>
        <v>515000000</v>
      </c>
      <c r="N95" s="36">
        <f t="shared" si="40"/>
        <v>54758470</v>
      </c>
      <c r="O95" s="182">
        <f t="shared" si="41"/>
        <v>460241530</v>
      </c>
      <c r="P95" s="187">
        <f t="shared" si="37"/>
        <v>0.10632712621359224</v>
      </c>
      <c r="Q95" s="5"/>
      <c r="R95" s="5"/>
    </row>
    <row r="96" spans="1:18" s="32" customFormat="1" ht="13.15" customHeight="1" x14ac:dyDescent="0.2">
      <c r="A96" s="33" t="s">
        <v>77</v>
      </c>
      <c r="B96" s="35" t="s">
        <v>83</v>
      </c>
      <c r="C96" s="36">
        <f>599931036+30068964</f>
        <v>630000000</v>
      </c>
      <c r="D96" s="36"/>
      <c r="E96" s="36"/>
      <c r="F96" s="36">
        <f t="shared" si="38"/>
        <v>630000000</v>
      </c>
      <c r="G96" s="36">
        <f>2621311+594209099</f>
        <v>596830410</v>
      </c>
      <c r="H96" s="33"/>
      <c r="I96" s="36"/>
      <c r="J96" s="36"/>
      <c r="K96" s="36"/>
      <c r="L96" s="36"/>
      <c r="M96" s="33">
        <f t="shared" si="40"/>
        <v>630000000</v>
      </c>
      <c r="N96" s="36">
        <f t="shared" si="40"/>
        <v>596830410</v>
      </c>
      <c r="O96" s="182">
        <f t="shared" si="41"/>
        <v>33169590</v>
      </c>
      <c r="P96" s="187">
        <f t="shared" si="37"/>
        <v>0.94734985714285713</v>
      </c>
      <c r="Q96" s="5"/>
      <c r="R96" s="5"/>
    </row>
    <row r="97" spans="1:18" s="32" customFormat="1" ht="13.15" customHeight="1" x14ac:dyDescent="0.2">
      <c r="A97" s="33" t="s">
        <v>274</v>
      </c>
      <c r="B97" s="35" t="s">
        <v>83</v>
      </c>
      <c r="C97" s="36"/>
      <c r="D97" s="36">
        <v>505000000</v>
      </c>
      <c r="E97" s="36"/>
      <c r="F97" s="36">
        <f t="shared" si="38"/>
        <v>505000000</v>
      </c>
      <c r="G97" s="36">
        <v>327081699</v>
      </c>
      <c r="H97" s="33"/>
      <c r="I97" s="36"/>
      <c r="J97" s="36"/>
      <c r="K97" s="36"/>
      <c r="L97" s="36"/>
      <c r="M97" s="33">
        <f t="shared" si="40"/>
        <v>505000000</v>
      </c>
      <c r="N97" s="36">
        <f t="shared" si="40"/>
        <v>327081699</v>
      </c>
      <c r="O97" s="182">
        <f t="shared" si="41"/>
        <v>177918301</v>
      </c>
      <c r="P97" s="187">
        <f t="shared" si="37"/>
        <v>0.64768653267326737</v>
      </c>
      <c r="Q97" s="5"/>
      <c r="R97" s="5"/>
    </row>
    <row r="98" spans="1:18" s="32" customFormat="1" ht="13.15" customHeight="1" x14ac:dyDescent="0.2">
      <c r="A98" s="33" t="s">
        <v>78</v>
      </c>
      <c r="B98" s="35" t="s">
        <v>68</v>
      </c>
      <c r="C98" s="36">
        <f>115000000+35000000</f>
        <v>150000000</v>
      </c>
      <c r="D98" s="36"/>
      <c r="E98" s="36"/>
      <c r="F98" s="36">
        <f t="shared" si="38"/>
        <v>150000000</v>
      </c>
      <c r="G98" s="36">
        <f>97997865+35000000</f>
        <v>132997865</v>
      </c>
      <c r="H98" s="33"/>
      <c r="I98" s="36"/>
      <c r="J98" s="36"/>
      <c r="K98" s="36"/>
      <c r="L98" s="36"/>
      <c r="M98" s="33">
        <f t="shared" si="40"/>
        <v>150000000</v>
      </c>
      <c r="N98" s="36">
        <f t="shared" si="40"/>
        <v>132997865</v>
      </c>
      <c r="O98" s="182">
        <f t="shared" si="41"/>
        <v>17002135</v>
      </c>
      <c r="P98" s="187">
        <f t="shared" si="37"/>
        <v>0.88665243333333332</v>
      </c>
      <c r="Q98" s="5"/>
      <c r="R98" s="5"/>
    </row>
    <row r="99" spans="1:18" s="32" customFormat="1" ht="13.15" customHeight="1" x14ac:dyDescent="0.2">
      <c r="A99" s="33"/>
      <c r="B99" s="35"/>
      <c r="C99" s="36"/>
      <c r="D99" s="36"/>
      <c r="E99" s="36"/>
      <c r="F99" s="36"/>
      <c r="G99" s="36"/>
      <c r="H99" s="33"/>
      <c r="I99" s="36"/>
      <c r="J99" s="36"/>
      <c r="K99" s="36"/>
      <c r="L99" s="36"/>
      <c r="M99" s="33"/>
      <c r="N99" s="36"/>
      <c r="O99" s="182"/>
      <c r="P99" s="184"/>
      <c r="Q99" s="5"/>
      <c r="R99" s="5"/>
    </row>
    <row r="100" spans="1:18" s="32" customFormat="1" ht="31.5" customHeight="1" x14ac:dyDescent="0.2">
      <c r="A100" s="169"/>
      <c r="B100" s="170" t="s">
        <v>289</v>
      </c>
      <c r="C100" s="171">
        <f>SUM(C101:C107)</f>
        <v>0</v>
      </c>
      <c r="D100" s="171">
        <f t="shared" ref="D100:N100" si="42">SUM(D101:D107)</f>
        <v>2094119218.74</v>
      </c>
      <c r="E100" s="171">
        <f t="shared" si="42"/>
        <v>0</v>
      </c>
      <c r="F100" s="171">
        <f t="shared" si="42"/>
        <v>2094119218.74</v>
      </c>
      <c r="G100" s="171">
        <f t="shared" si="42"/>
        <v>1793714084</v>
      </c>
      <c r="H100" s="169">
        <f t="shared" si="42"/>
        <v>0</v>
      </c>
      <c r="I100" s="171">
        <f t="shared" si="42"/>
        <v>0</v>
      </c>
      <c r="J100" s="171">
        <f t="shared" si="42"/>
        <v>0</v>
      </c>
      <c r="K100" s="171">
        <f t="shared" si="42"/>
        <v>0</v>
      </c>
      <c r="L100" s="171">
        <f t="shared" si="42"/>
        <v>0</v>
      </c>
      <c r="M100" s="169">
        <f t="shared" si="42"/>
        <v>2094119218.74</v>
      </c>
      <c r="N100" s="171">
        <f t="shared" si="42"/>
        <v>1793714084</v>
      </c>
      <c r="O100" s="171">
        <f>SUM(O101:O107)</f>
        <v>300405134.73999995</v>
      </c>
      <c r="P100" s="192">
        <f t="shared" ref="P100:P105" si="43">+N100/M100</f>
        <v>0.85654821747887433</v>
      </c>
      <c r="Q100" s="5"/>
      <c r="R100" s="5"/>
    </row>
    <row r="101" spans="1:18" s="32" customFormat="1" ht="19.5" customHeight="1" x14ac:dyDescent="0.2">
      <c r="A101" s="33" t="s">
        <v>290</v>
      </c>
      <c r="B101" s="35" t="s">
        <v>289</v>
      </c>
      <c r="C101" s="36"/>
      <c r="D101" s="36">
        <v>50405135</v>
      </c>
      <c r="E101" s="36"/>
      <c r="F101" s="36">
        <f>C101+D101-E101</f>
        <v>50405135</v>
      </c>
      <c r="G101" s="36">
        <v>0</v>
      </c>
      <c r="H101" s="33"/>
      <c r="I101" s="36"/>
      <c r="J101" s="36"/>
      <c r="K101" s="36"/>
      <c r="L101" s="36"/>
      <c r="M101" s="33">
        <f t="shared" ref="M101:N107" si="44">+K101+F101</f>
        <v>50405135</v>
      </c>
      <c r="N101" s="36">
        <f t="shared" si="44"/>
        <v>0</v>
      </c>
      <c r="O101" s="182">
        <f t="shared" ref="O101:O107" si="45">+M101-N101</f>
        <v>50405135</v>
      </c>
      <c r="P101" s="187">
        <f t="shared" si="43"/>
        <v>0</v>
      </c>
      <c r="Q101" s="5"/>
      <c r="R101" s="5"/>
    </row>
    <row r="102" spans="1:18" s="32" customFormat="1" ht="36" x14ac:dyDescent="0.2">
      <c r="A102" s="33" t="s">
        <v>278</v>
      </c>
      <c r="B102" s="35" t="s">
        <v>284</v>
      </c>
      <c r="C102" s="36"/>
      <c r="D102" s="36">
        <f>144000000+1638715822.53</f>
        <v>1782715822.53</v>
      </c>
      <c r="E102" s="36"/>
      <c r="F102" s="36">
        <f t="shared" ref="F102" si="46">+C102+D102-E102</f>
        <v>1782715822.53</v>
      </c>
      <c r="G102" s="36">
        <v>1638715823</v>
      </c>
      <c r="H102" s="33"/>
      <c r="I102" s="36"/>
      <c r="J102" s="36"/>
      <c r="K102" s="36"/>
      <c r="L102" s="36"/>
      <c r="M102" s="33">
        <f t="shared" si="44"/>
        <v>1782715822.53</v>
      </c>
      <c r="N102" s="36">
        <f t="shared" si="44"/>
        <v>1638715823</v>
      </c>
      <c r="O102" s="182">
        <f t="shared" si="45"/>
        <v>143999999.52999997</v>
      </c>
      <c r="P102" s="187">
        <f t="shared" si="43"/>
        <v>0.91922436671615015</v>
      </c>
      <c r="Q102" s="5"/>
      <c r="R102" s="5"/>
    </row>
    <row r="103" spans="1:18" s="32" customFormat="1" ht="48" x14ac:dyDescent="0.2">
      <c r="A103" s="33" t="s">
        <v>54</v>
      </c>
      <c r="B103" s="35" t="s">
        <v>288</v>
      </c>
      <c r="C103" s="36"/>
      <c r="D103" s="36">
        <v>55998262</v>
      </c>
      <c r="E103" s="36"/>
      <c r="F103" s="36">
        <f>+C103+D103-E103</f>
        <v>55998262</v>
      </c>
      <c r="G103" s="36">
        <v>55998262</v>
      </c>
      <c r="H103" s="33"/>
      <c r="I103" s="36"/>
      <c r="J103" s="36"/>
      <c r="K103" s="36"/>
      <c r="L103" s="36"/>
      <c r="M103" s="33">
        <f t="shared" si="44"/>
        <v>55998262</v>
      </c>
      <c r="N103" s="36">
        <f t="shared" si="44"/>
        <v>55998262</v>
      </c>
      <c r="O103" s="182">
        <f t="shared" si="45"/>
        <v>0</v>
      </c>
      <c r="P103" s="187">
        <f t="shared" si="43"/>
        <v>1</v>
      </c>
      <c r="Q103" s="5"/>
      <c r="R103" s="5"/>
    </row>
    <row r="104" spans="1:18" s="32" customFormat="1" ht="48" x14ac:dyDescent="0.2">
      <c r="A104" s="33" t="s">
        <v>56</v>
      </c>
      <c r="B104" s="35" t="s">
        <v>295</v>
      </c>
      <c r="C104" s="36"/>
      <c r="D104" s="36">
        <v>7330189.9699999997</v>
      </c>
      <c r="E104" s="36"/>
      <c r="F104" s="36">
        <f>+C104+D104-E104</f>
        <v>7330189.9699999997</v>
      </c>
      <c r="G104" s="36">
        <v>0</v>
      </c>
      <c r="H104" s="33"/>
      <c r="I104" s="36"/>
      <c r="J104" s="36"/>
      <c r="K104" s="36"/>
      <c r="L104" s="36"/>
      <c r="M104" s="33">
        <f t="shared" si="44"/>
        <v>7330189.9699999997</v>
      </c>
      <c r="N104" s="36">
        <f t="shared" si="44"/>
        <v>0</v>
      </c>
      <c r="O104" s="182">
        <f t="shared" si="45"/>
        <v>7330189.9699999997</v>
      </c>
      <c r="P104" s="187">
        <f t="shared" si="43"/>
        <v>0</v>
      </c>
      <c r="Q104" s="5"/>
      <c r="R104" s="5"/>
    </row>
    <row r="105" spans="1:18" s="32" customFormat="1" ht="48" x14ac:dyDescent="0.2">
      <c r="A105" s="33" t="s">
        <v>280</v>
      </c>
      <c r="B105" s="35" t="s">
        <v>285</v>
      </c>
      <c r="C105" s="36"/>
      <c r="D105" s="36">
        <v>82669810.030000001</v>
      </c>
      <c r="E105" s="36"/>
      <c r="F105" s="36">
        <f>+C105+D105-E105</f>
        <v>82669810.030000001</v>
      </c>
      <c r="G105" s="36">
        <v>0</v>
      </c>
      <c r="H105" s="33"/>
      <c r="I105" s="36"/>
      <c r="J105" s="36"/>
      <c r="K105" s="36"/>
      <c r="L105" s="36"/>
      <c r="M105" s="33">
        <f t="shared" si="44"/>
        <v>82669810.030000001</v>
      </c>
      <c r="N105" s="36">
        <f t="shared" si="44"/>
        <v>0</v>
      </c>
      <c r="O105" s="182">
        <f t="shared" si="45"/>
        <v>82669810.030000001</v>
      </c>
      <c r="P105" s="187">
        <f t="shared" si="43"/>
        <v>0</v>
      </c>
      <c r="Q105" s="5"/>
      <c r="R105" s="5"/>
    </row>
    <row r="106" spans="1:18" s="32" customFormat="1" ht="48" x14ac:dyDescent="0.2">
      <c r="A106" s="33" t="s">
        <v>282</v>
      </c>
      <c r="B106" s="35" t="s">
        <v>287</v>
      </c>
      <c r="C106" s="36"/>
      <c r="D106" s="36">
        <v>74999999.209999993</v>
      </c>
      <c r="E106" s="36"/>
      <c r="F106" s="36">
        <f>+C106+D106-E106</f>
        <v>74999999.209999993</v>
      </c>
      <c r="G106" s="36">
        <v>74999999</v>
      </c>
      <c r="H106" s="33"/>
      <c r="I106" s="36"/>
      <c r="J106" s="36"/>
      <c r="K106" s="36"/>
      <c r="L106" s="36"/>
      <c r="M106" s="33">
        <f t="shared" si="44"/>
        <v>74999999.209999993</v>
      </c>
      <c r="N106" s="36">
        <f t="shared" si="44"/>
        <v>74999999</v>
      </c>
      <c r="O106" s="182">
        <f t="shared" si="45"/>
        <v>0.20999999344348907</v>
      </c>
      <c r="P106" s="187">
        <f t="shared" ref="P106:P107" si="47">+N106/M106</f>
        <v>0.9999999972000001</v>
      </c>
      <c r="Q106" s="5"/>
      <c r="R106" s="5"/>
    </row>
    <row r="107" spans="1:18" s="32" customFormat="1" ht="48" x14ac:dyDescent="0.2">
      <c r="A107" s="33" t="s">
        <v>283</v>
      </c>
      <c r="B107" s="35" t="s">
        <v>286</v>
      </c>
      <c r="C107" s="36"/>
      <c r="D107" s="36">
        <v>40000000</v>
      </c>
      <c r="E107" s="36"/>
      <c r="F107" s="36">
        <f>+C107+D107-E107</f>
        <v>40000000</v>
      </c>
      <c r="G107" s="36">
        <v>24000000</v>
      </c>
      <c r="H107" s="33"/>
      <c r="I107" s="36"/>
      <c r="J107" s="36"/>
      <c r="K107" s="36"/>
      <c r="L107" s="36"/>
      <c r="M107" s="33">
        <f t="shared" si="44"/>
        <v>40000000</v>
      </c>
      <c r="N107" s="36">
        <f t="shared" si="44"/>
        <v>24000000</v>
      </c>
      <c r="O107" s="182">
        <f t="shared" si="45"/>
        <v>16000000</v>
      </c>
      <c r="P107" s="187">
        <f t="shared" si="47"/>
        <v>0.6</v>
      </c>
      <c r="Q107" s="5"/>
      <c r="R107" s="5"/>
    </row>
    <row r="108" spans="1:18" s="32" customFormat="1" ht="12" x14ac:dyDescent="0.2">
      <c r="A108" s="33"/>
      <c r="B108" s="35"/>
      <c r="C108" s="36"/>
      <c r="D108" s="36"/>
      <c r="E108" s="36"/>
      <c r="F108" s="36"/>
      <c r="G108" s="36"/>
      <c r="H108" s="33"/>
      <c r="I108" s="36"/>
      <c r="J108" s="36"/>
      <c r="K108" s="36"/>
      <c r="L108" s="36"/>
      <c r="M108" s="33"/>
      <c r="N108" s="36"/>
      <c r="O108" s="182"/>
      <c r="P108" s="184"/>
      <c r="Q108" s="5"/>
      <c r="R108" s="5"/>
    </row>
    <row r="109" spans="1:18" s="6" customFormat="1" thickBot="1" x14ac:dyDescent="0.25">
      <c r="A109" s="114">
        <v>7</v>
      </c>
      <c r="B109" s="115" t="s">
        <v>11</v>
      </c>
      <c r="C109" s="53">
        <v>0</v>
      </c>
      <c r="D109" s="53">
        <v>0</v>
      </c>
      <c r="E109" s="53"/>
      <c r="F109" s="53">
        <v>0</v>
      </c>
      <c r="G109" s="53">
        <v>0</v>
      </c>
      <c r="H109" s="200">
        <v>0</v>
      </c>
      <c r="I109" s="53">
        <v>0</v>
      </c>
      <c r="J109" s="53"/>
      <c r="K109" s="53">
        <f>+I109+H109</f>
        <v>0</v>
      </c>
      <c r="L109" s="53">
        <v>0</v>
      </c>
      <c r="M109" s="200">
        <f>+C109+H109</f>
        <v>0</v>
      </c>
      <c r="N109" s="85">
        <f>+G109+L109</f>
        <v>0</v>
      </c>
      <c r="O109" s="85">
        <f>+M109-N109</f>
        <v>0</v>
      </c>
      <c r="P109" s="185"/>
      <c r="Q109" s="5"/>
      <c r="R109" s="5"/>
    </row>
    <row r="110" spans="1:18" ht="13.5" thickBot="1" x14ac:dyDescent="0.25">
      <c r="A110" s="18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6"/>
      <c r="Q110" s="5"/>
      <c r="R110" s="5"/>
    </row>
    <row r="111" spans="1:18" ht="13.5" thickBot="1" x14ac:dyDescent="0.25">
      <c r="A111" s="27"/>
      <c r="B111" s="54" t="s">
        <v>12</v>
      </c>
      <c r="C111" s="55">
        <f t="shared" ref="C111:N111" si="48">+C37+C34</f>
        <v>49475995389</v>
      </c>
      <c r="D111" s="55">
        <f t="shared" si="48"/>
        <v>16341463169.860001</v>
      </c>
      <c r="E111" s="55">
        <f t="shared" si="48"/>
        <v>4223208670.3000002</v>
      </c>
      <c r="F111" s="55">
        <f t="shared" si="48"/>
        <v>61594249888.559998</v>
      </c>
      <c r="G111" s="55">
        <f t="shared" si="48"/>
        <v>38268671325</v>
      </c>
      <c r="H111" s="55">
        <f t="shared" si="48"/>
        <v>4768431000</v>
      </c>
      <c r="I111" s="55">
        <f t="shared" si="48"/>
        <v>0</v>
      </c>
      <c r="J111" s="55">
        <f t="shared" si="48"/>
        <v>0</v>
      </c>
      <c r="K111" s="55">
        <f t="shared" si="48"/>
        <v>4768431000</v>
      </c>
      <c r="L111" s="55">
        <f t="shared" si="48"/>
        <v>3195183605</v>
      </c>
      <c r="M111" s="55">
        <f t="shared" si="48"/>
        <v>66362680888.559998</v>
      </c>
      <c r="N111" s="55">
        <f t="shared" si="48"/>
        <v>41463854930</v>
      </c>
      <c r="O111" s="55">
        <f>+O37+O34</f>
        <v>24898825958.560001</v>
      </c>
      <c r="P111" s="193">
        <f t="shared" ref="P111" si="49">+N111/M111</f>
        <v>0.62480680971325542</v>
      </c>
      <c r="Q111" s="11"/>
      <c r="R111" s="11"/>
    </row>
    <row r="112" spans="1:18" x14ac:dyDescent="0.2">
      <c r="F112" s="11"/>
      <c r="G112" s="11"/>
      <c r="M112" s="11"/>
      <c r="N112" s="11"/>
      <c r="O112" s="11"/>
      <c r="P112" s="11"/>
    </row>
    <row r="113" spans="1:16" x14ac:dyDescent="0.2">
      <c r="G113" s="11"/>
      <c r="H113" s="11"/>
      <c r="M113" s="11"/>
      <c r="N113" s="11"/>
      <c r="O113" s="11"/>
      <c r="P113" s="11"/>
    </row>
    <row r="114" spans="1:16" ht="13.5" thickBot="1" x14ac:dyDescent="0.25">
      <c r="C114" s="86"/>
      <c r="F114" s="11"/>
      <c r="G114" s="11"/>
      <c r="H114" s="11"/>
      <c r="M114" s="11"/>
      <c r="N114" s="11"/>
      <c r="O114" s="11"/>
      <c r="P114" s="11"/>
    </row>
    <row r="115" spans="1:16" ht="13.5" thickBot="1" x14ac:dyDescent="0.25">
      <c r="A115" s="272" t="s">
        <v>16</v>
      </c>
      <c r="B115" s="273"/>
      <c r="C115" s="273"/>
      <c r="D115" s="273"/>
      <c r="E115" s="273"/>
      <c r="F115" s="273"/>
      <c r="G115" s="274"/>
      <c r="M115" s="11"/>
      <c r="N115" s="11"/>
      <c r="O115" s="11"/>
      <c r="P115" s="89"/>
    </row>
    <row r="116" spans="1:16" ht="13.5" thickBot="1" x14ac:dyDescent="0.25">
      <c r="A116" s="272" t="s">
        <v>13</v>
      </c>
      <c r="B116" s="273"/>
      <c r="C116" s="273"/>
      <c r="D116" s="273"/>
      <c r="E116" s="273"/>
      <c r="F116" s="273"/>
      <c r="G116" s="274"/>
      <c r="H116" s="19"/>
      <c r="I116" s="19"/>
      <c r="J116" s="19"/>
      <c r="K116" s="19"/>
      <c r="L116" s="19"/>
      <c r="M116" s="11"/>
      <c r="N116" s="11"/>
      <c r="P116" s="89"/>
    </row>
    <row r="117" spans="1:16" ht="13.5" thickBot="1" x14ac:dyDescent="0.25">
      <c r="A117" s="272" t="s">
        <v>91</v>
      </c>
      <c r="B117" s="273"/>
      <c r="C117" s="273"/>
      <c r="D117" s="273"/>
      <c r="E117" s="273"/>
      <c r="F117" s="273"/>
      <c r="G117" s="274"/>
      <c r="H117" s="19"/>
      <c r="I117" s="19"/>
      <c r="J117" s="19"/>
      <c r="K117" s="19"/>
      <c r="L117" s="19"/>
      <c r="M117" s="11"/>
      <c r="N117" s="11"/>
      <c r="P117" s="90"/>
    </row>
    <row r="118" spans="1:16" ht="13.5" thickBot="1" x14ac:dyDescent="0.25">
      <c r="A118" s="272" t="s">
        <v>306</v>
      </c>
      <c r="B118" s="273"/>
      <c r="C118" s="273"/>
      <c r="D118" s="273"/>
      <c r="E118" s="273"/>
      <c r="F118" s="273"/>
      <c r="G118" s="274"/>
      <c r="H118" s="19"/>
      <c r="I118" s="19"/>
      <c r="J118" s="19"/>
      <c r="K118" s="19"/>
      <c r="M118" s="11"/>
    </row>
    <row r="119" spans="1:16" ht="21.75" customHeight="1" thickBot="1" x14ac:dyDescent="0.25">
      <c r="A119" s="227"/>
      <c r="B119" s="271" t="s">
        <v>5</v>
      </c>
      <c r="C119" s="257" t="s">
        <v>261</v>
      </c>
      <c r="D119" s="258"/>
      <c r="E119" s="258"/>
      <c r="F119" s="258"/>
      <c r="G119" s="258"/>
      <c r="N119" s="87"/>
    </row>
    <row r="120" spans="1:16" ht="23.25" thickBot="1" x14ac:dyDescent="0.25">
      <c r="A120" s="227"/>
      <c r="B120" s="271"/>
      <c r="C120" s="228" t="s">
        <v>17</v>
      </c>
      <c r="D120" s="226" t="s">
        <v>100</v>
      </c>
      <c r="E120" s="226" t="s">
        <v>101</v>
      </c>
      <c r="F120" s="226" t="s">
        <v>18</v>
      </c>
      <c r="G120" s="226" t="s">
        <v>19</v>
      </c>
      <c r="N120" s="87"/>
    </row>
    <row r="121" spans="1:16" ht="36" x14ac:dyDescent="0.2">
      <c r="A121" s="229" t="s">
        <v>262</v>
      </c>
      <c r="B121" s="230" t="s">
        <v>263</v>
      </c>
      <c r="C121" s="231">
        <v>40781172378</v>
      </c>
      <c r="D121" s="231">
        <v>0</v>
      </c>
      <c r="E121" s="231">
        <v>0</v>
      </c>
      <c r="F121" s="231">
        <f>+D121+C121</f>
        <v>40781172378</v>
      </c>
      <c r="G121" s="232">
        <v>40734120648</v>
      </c>
      <c r="N121" s="87"/>
    </row>
    <row r="122" spans="1:16" ht="36" x14ac:dyDescent="0.2">
      <c r="A122" s="33" t="s">
        <v>264</v>
      </c>
      <c r="B122" s="35" t="s">
        <v>265</v>
      </c>
      <c r="C122" s="36">
        <v>25375830600</v>
      </c>
      <c r="D122" s="36">
        <v>0</v>
      </c>
      <c r="E122" s="36">
        <v>0</v>
      </c>
      <c r="F122" s="36">
        <f>+D122+C122</f>
        <v>25375830600</v>
      </c>
      <c r="G122" s="182">
        <v>25328436664</v>
      </c>
      <c r="I122" s="11"/>
    </row>
    <row r="123" spans="1:16" ht="36.75" thickBot="1" x14ac:dyDescent="0.25">
      <c r="A123" s="234" t="s">
        <v>266</v>
      </c>
      <c r="B123" s="235" t="s">
        <v>267</v>
      </c>
      <c r="C123" s="236">
        <v>12900605539</v>
      </c>
      <c r="D123" s="236">
        <v>0</v>
      </c>
      <c r="E123" s="236">
        <v>0</v>
      </c>
      <c r="F123" s="236">
        <f>+D123+C123</f>
        <v>12900605539</v>
      </c>
      <c r="G123" s="233">
        <v>12869613369</v>
      </c>
    </row>
    <row r="124" spans="1:16" ht="13.5" thickBot="1" x14ac:dyDescent="0.25">
      <c r="A124" s="27"/>
      <c r="B124" s="54" t="s">
        <v>268</v>
      </c>
      <c r="C124" s="55">
        <f>SUM(C121:C123)</f>
        <v>79057608517</v>
      </c>
      <c r="D124" s="55">
        <f t="shared" ref="D124:G124" si="50">SUM(D121:D123)</f>
        <v>0</v>
      </c>
      <c r="E124" s="55">
        <f t="shared" si="50"/>
        <v>0</v>
      </c>
      <c r="F124" s="55">
        <f t="shared" si="50"/>
        <v>79057608517</v>
      </c>
      <c r="G124" s="55">
        <f t="shared" si="50"/>
        <v>78932170681</v>
      </c>
    </row>
  </sheetData>
  <mergeCells count="15">
    <mergeCell ref="B119:B120"/>
    <mergeCell ref="C119:G119"/>
    <mergeCell ref="A115:G115"/>
    <mergeCell ref="A116:G116"/>
    <mergeCell ref="A117:G117"/>
    <mergeCell ref="A118:G118"/>
    <mergeCell ref="B6:B7"/>
    <mergeCell ref="C6:G6"/>
    <mergeCell ref="H6:L6"/>
    <mergeCell ref="M6:P6"/>
    <mergeCell ref="A1:P1"/>
    <mergeCell ref="A2:P2"/>
    <mergeCell ref="A3:P3"/>
    <mergeCell ref="A4:P4"/>
    <mergeCell ref="A5:P5"/>
  </mergeCells>
  <pageMargins left="0.31496062992125984" right="0.35433070866141736" top="0.69" bottom="0.28999999999999998" header="0.69" footer="0.17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INGRESOS JUNIO 2021</vt:lpstr>
      <vt:lpstr>INGRESOS SEPTIEMBRE 2021</vt:lpstr>
      <vt:lpstr>GASTOS SEPTIEMBRE 2021 </vt:lpstr>
      <vt:lpstr>'GASTOS SEPTIEMBRE 2021 '!Área_de_impresión</vt:lpstr>
      <vt:lpstr>'INGRESOS JUNIO 2021'!Área_de_impresión</vt:lpstr>
      <vt:lpstr>'INGRESOS SEPTIEMBRE 2021'!Área_de_impresión</vt:lpstr>
      <vt:lpstr>'GASTOS SEPTIEMBRE 2021 '!Títulos_a_imprimir</vt:lpstr>
      <vt:lpstr>'INGRESOS JUNIO 2021'!Títulos_a_imprimir</vt:lpstr>
      <vt:lpstr>'INGRESOS SEPTIEMBRE 2021'!Títulos_a_imprimir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2021-10-29T16:21:34Z</cp:lastPrinted>
  <dcterms:created xsi:type="dcterms:W3CDTF">2004-01-28T22:51:19Z</dcterms:created>
  <dcterms:modified xsi:type="dcterms:W3CDTF">2021-10-29T16:33:01Z</dcterms:modified>
</cp:coreProperties>
</file>