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PC-1\Desktop\EJECUCIONES\"/>
    </mc:Choice>
  </mc:AlternateContent>
  <bookViews>
    <workbookView xWindow="0" yWindow="0" windowWidth="20490" windowHeight="7620" tabRatio="785"/>
  </bookViews>
  <sheets>
    <sheet name="INGRESOS FEBRERO 2022" sheetId="25" r:id="rId1"/>
    <sheet name="GASTOS FEBRERO 2022" sheetId="26" r:id="rId2"/>
  </sheets>
  <externalReferences>
    <externalReference r:id="rId3"/>
  </externalReferences>
  <definedNames>
    <definedName name="_xlnm._FilterDatabase" localSheetId="0" hidden="1">'INGRESOS FEBRERO 2022'!$B$6:$I$87</definedName>
    <definedName name="_xlnm.Print_Area" localSheetId="1">'GASTOS FEBRERO 2022'!$A$1:$R$90</definedName>
    <definedName name="_xlnm.Print_Area" localSheetId="0">'INGRESOS FEBRERO 2022'!$B$1:$I$96</definedName>
    <definedName name="_xlnm.Print_Titles" localSheetId="1">'GASTOS FEBRERO 2022'!$2:$7</definedName>
    <definedName name="_xlnm.Print_Titles" localSheetId="0">'INGRESOS FEBRERO 2022'!$1:$6</definedName>
  </definedNames>
  <calcPr calcId="162913"/>
</workbook>
</file>

<file path=xl/calcChain.xml><?xml version="1.0" encoding="utf-8"?>
<calcChain xmlns="http://schemas.openxmlformats.org/spreadsheetml/2006/main">
  <c r="G70" i="26" l="1"/>
  <c r="F37" i="25"/>
  <c r="E37" i="25"/>
  <c r="F15" i="25"/>
  <c r="E15" i="25"/>
  <c r="G75" i="26"/>
  <c r="G63" i="26"/>
  <c r="G14" i="26"/>
  <c r="L9" i="25" l="1"/>
  <c r="H34" i="25"/>
  <c r="C22" i="26" l="1"/>
  <c r="G47" i="25" l="1"/>
  <c r="I47" i="25" s="1"/>
  <c r="G46" i="25"/>
  <c r="I46" i="25" s="1"/>
  <c r="G45" i="25"/>
  <c r="I45" i="25" s="1"/>
  <c r="G44" i="25"/>
  <c r="H43" i="25"/>
  <c r="H42" i="25" s="1"/>
  <c r="F43" i="25"/>
  <c r="F42" i="25" s="1"/>
  <c r="E43" i="25"/>
  <c r="E42" i="25" s="1"/>
  <c r="D43" i="25"/>
  <c r="D42" i="25" s="1"/>
  <c r="D13" i="25"/>
  <c r="G43" i="25" l="1"/>
  <c r="G42" i="25" s="1"/>
  <c r="I42" i="25" s="1"/>
  <c r="I44" i="25"/>
  <c r="M82" i="26"/>
  <c r="L82" i="26"/>
  <c r="K82" i="26"/>
  <c r="J82" i="26"/>
  <c r="I82" i="26"/>
  <c r="G82" i="26"/>
  <c r="E82" i="26"/>
  <c r="D82" i="26"/>
  <c r="H58" i="25"/>
  <c r="H67" i="25"/>
  <c r="H66" i="25" s="1"/>
  <c r="H65" i="25" s="1"/>
  <c r="H77" i="25"/>
  <c r="F77" i="25"/>
  <c r="E77" i="25"/>
  <c r="D77" i="25"/>
  <c r="G80" i="25"/>
  <c r="I80" i="25" s="1"/>
  <c r="G69" i="25"/>
  <c r="I69" i="25" s="1"/>
  <c r="G68" i="25"/>
  <c r="I68" i="25" s="1"/>
  <c r="F67" i="25"/>
  <c r="F66" i="25" s="1"/>
  <c r="F65" i="25" s="1"/>
  <c r="E67" i="25"/>
  <c r="E66" i="25" s="1"/>
  <c r="E65" i="25" s="1"/>
  <c r="D67" i="25"/>
  <c r="D66" i="25" s="1"/>
  <c r="D65" i="25" s="1"/>
  <c r="F58" i="25"/>
  <c r="F57" i="25" s="1"/>
  <c r="E58" i="25"/>
  <c r="E57" i="25" s="1"/>
  <c r="G64" i="25"/>
  <c r="I64" i="25" s="1"/>
  <c r="G63" i="25"/>
  <c r="I63" i="25" s="1"/>
  <c r="G62" i="25"/>
  <c r="I62" i="25" s="1"/>
  <c r="G61" i="25"/>
  <c r="I61" i="25" s="1"/>
  <c r="G60" i="25"/>
  <c r="I60" i="25" s="1"/>
  <c r="G59" i="25"/>
  <c r="I59" i="25" s="1"/>
  <c r="D58" i="25"/>
  <c r="D57" i="25" s="1"/>
  <c r="I43" i="25" l="1"/>
  <c r="H57" i="25"/>
  <c r="G67" i="25"/>
  <c r="G66" i="25" s="1"/>
  <c r="G65" i="25" s="1"/>
  <c r="I65" i="25" s="1"/>
  <c r="G58" i="25"/>
  <c r="G57" i="25" s="1"/>
  <c r="J48" i="26"/>
  <c r="C26" i="26"/>
  <c r="C14" i="26"/>
  <c r="G29" i="26"/>
  <c r="E29" i="26"/>
  <c r="D29" i="26"/>
  <c r="C29" i="26"/>
  <c r="P30" i="26"/>
  <c r="P29" i="26" s="1"/>
  <c r="P38" i="26"/>
  <c r="P37" i="26" s="1"/>
  <c r="L38" i="26"/>
  <c r="F38" i="26"/>
  <c r="F37" i="26" s="1"/>
  <c r="M37" i="26"/>
  <c r="K37" i="26"/>
  <c r="J37" i="26"/>
  <c r="I37" i="26"/>
  <c r="G37" i="26"/>
  <c r="E37" i="26"/>
  <c r="D37" i="26"/>
  <c r="C37" i="26"/>
  <c r="I57" i="25" l="1"/>
  <c r="I66" i="25"/>
  <c r="I58" i="25"/>
  <c r="I67" i="25"/>
  <c r="F30" i="26"/>
  <c r="F29" i="26" s="1"/>
  <c r="N38" i="26"/>
  <c r="L37" i="26"/>
  <c r="N37" i="26" s="1"/>
  <c r="O38" i="26"/>
  <c r="R38" i="26" s="1"/>
  <c r="P10" i="26"/>
  <c r="P8" i="26"/>
  <c r="I35" i="26"/>
  <c r="I34" i="26"/>
  <c r="I10" i="26"/>
  <c r="C86" i="26"/>
  <c r="C88" i="26"/>
  <c r="C87" i="26"/>
  <c r="C85" i="26"/>
  <c r="C83" i="26"/>
  <c r="C82" i="26" s="1"/>
  <c r="C80" i="26"/>
  <c r="C77" i="26"/>
  <c r="C76" i="26"/>
  <c r="C75" i="26"/>
  <c r="C74" i="26"/>
  <c r="C71" i="26"/>
  <c r="F71" i="26" s="1"/>
  <c r="F70" i="26" s="1"/>
  <c r="C64" i="26"/>
  <c r="C63" i="26"/>
  <c r="C62" i="26"/>
  <c r="C61" i="26"/>
  <c r="C58" i="26"/>
  <c r="C57" i="26"/>
  <c r="C56" i="26"/>
  <c r="C54" i="26"/>
  <c r="C53" i="26"/>
  <c r="C50" i="26"/>
  <c r="C49" i="26"/>
  <c r="C27" i="26"/>
  <c r="C25" i="26" s="1"/>
  <c r="C20" i="26"/>
  <c r="C23" i="26"/>
  <c r="C21" i="26"/>
  <c r="F14" i="26"/>
  <c r="C16" i="26"/>
  <c r="C13" i="26"/>
  <c r="F13" i="26" s="1"/>
  <c r="D19" i="26"/>
  <c r="D12" i="26"/>
  <c r="C19" i="26" l="1"/>
  <c r="F12" i="26"/>
  <c r="H30" i="26"/>
  <c r="H29" i="26"/>
  <c r="O30" i="26"/>
  <c r="O29" i="26" s="1"/>
  <c r="Q38" i="26"/>
  <c r="O37" i="26"/>
  <c r="R37" i="26" s="1"/>
  <c r="C12" i="26"/>
  <c r="G103" i="26"/>
  <c r="G48" i="26"/>
  <c r="G19" i="26"/>
  <c r="R29" i="26" l="1"/>
  <c r="Q30" i="26"/>
  <c r="Q29" i="26" s="1"/>
  <c r="R30" i="26"/>
  <c r="P14" i="26"/>
  <c r="G12" i="26"/>
  <c r="P77" i="26" l="1"/>
  <c r="F77" i="26"/>
  <c r="O77" i="26" s="1"/>
  <c r="Q77" i="26" l="1"/>
  <c r="H77" i="26"/>
  <c r="R77" i="26"/>
  <c r="H31" i="25" l="1"/>
  <c r="G84" i="26" l="1"/>
  <c r="I48" i="26"/>
  <c r="L10" i="26" l="1"/>
  <c r="E19" i="26" l="1"/>
  <c r="D84" i="26"/>
  <c r="E73" i="26"/>
  <c r="P80" i="26"/>
  <c r="G66" i="26"/>
  <c r="P62" i="26"/>
  <c r="P58" i="26"/>
  <c r="P56" i="26"/>
  <c r="E103" i="26"/>
  <c r="D103" i="26"/>
  <c r="C103" i="26"/>
  <c r="F102" i="26"/>
  <c r="F101" i="26"/>
  <c r="F100" i="26"/>
  <c r="P88" i="26"/>
  <c r="F88" i="26"/>
  <c r="O88" i="26" s="1"/>
  <c r="P87" i="26"/>
  <c r="F87" i="26"/>
  <c r="O87" i="26" s="1"/>
  <c r="F86" i="26"/>
  <c r="O86" i="26" s="1"/>
  <c r="F85" i="26"/>
  <c r="M84" i="26"/>
  <c r="L84" i="26"/>
  <c r="K84" i="26"/>
  <c r="J84" i="26"/>
  <c r="I84" i="26"/>
  <c r="E84" i="26"/>
  <c r="P83" i="26"/>
  <c r="P82" i="26" s="1"/>
  <c r="F83" i="26"/>
  <c r="F80" i="26"/>
  <c r="O80" i="26" s="1"/>
  <c r="M79" i="26"/>
  <c r="L79" i="26"/>
  <c r="K79" i="26"/>
  <c r="J79" i="26"/>
  <c r="I79" i="26"/>
  <c r="E79" i="26"/>
  <c r="C79" i="26"/>
  <c r="O78" i="26"/>
  <c r="D73" i="26"/>
  <c r="F76" i="26"/>
  <c r="O76" i="26" s="1"/>
  <c r="F75" i="26"/>
  <c r="O75" i="26" s="1"/>
  <c r="P74" i="26"/>
  <c r="F74" i="26"/>
  <c r="O74" i="26" s="1"/>
  <c r="M73" i="26"/>
  <c r="L73" i="26"/>
  <c r="K73" i="26"/>
  <c r="J73" i="26"/>
  <c r="I73" i="26"/>
  <c r="C73" i="26"/>
  <c r="P71" i="26"/>
  <c r="H71" i="26"/>
  <c r="M70" i="26"/>
  <c r="L70" i="26"/>
  <c r="J70" i="26"/>
  <c r="I70" i="26"/>
  <c r="E70" i="26"/>
  <c r="D70" i="26"/>
  <c r="C70" i="26"/>
  <c r="F68" i="26"/>
  <c r="O68" i="26" s="1"/>
  <c r="P67" i="26"/>
  <c r="F67" i="26"/>
  <c r="O67" i="26" s="1"/>
  <c r="M66" i="26"/>
  <c r="L66" i="26"/>
  <c r="K66" i="26"/>
  <c r="J66" i="26"/>
  <c r="I66" i="26"/>
  <c r="E66" i="26"/>
  <c r="D66" i="26"/>
  <c r="C66" i="26"/>
  <c r="P64" i="26"/>
  <c r="F64" i="26"/>
  <c r="H64" i="26" s="1"/>
  <c r="P63" i="26"/>
  <c r="F63" i="26"/>
  <c r="H63" i="26" s="1"/>
  <c r="F62" i="26"/>
  <c r="O62" i="26" s="1"/>
  <c r="E60" i="26"/>
  <c r="D60" i="26"/>
  <c r="P61" i="26"/>
  <c r="F61" i="26"/>
  <c r="H61" i="26" s="1"/>
  <c r="M60" i="26"/>
  <c r="L60" i="26"/>
  <c r="K60" i="26"/>
  <c r="J60" i="26"/>
  <c r="I60" i="26"/>
  <c r="F58" i="26"/>
  <c r="O58" i="26" s="1"/>
  <c r="P57" i="26"/>
  <c r="F57" i="26"/>
  <c r="O57" i="26" s="1"/>
  <c r="F56" i="26"/>
  <c r="O56" i="26" s="1"/>
  <c r="P55" i="26"/>
  <c r="F55" i="26"/>
  <c r="O55" i="26" s="1"/>
  <c r="P54" i="26"/>
  <c r="P53" i="26"/>
  <c r="F53" i="26"/>
  <c r="M52" i="26"/>
  <c r="L52" i="26"/>
  <c r="K52" i="26"/>
  <c r="J52" i="26"/>
  <c r="I52" i="26"/>
  <c r="E52" i="26"/>
  <c r="D52" i="26"/>
  <c r="P50" i="26"/>
  <c r="F50" i="26"/>
  <c r="O50" i="26" s="1"/>
  <c r="P49" i="26"/>
  <c r="F49" i="26"/>
  <c r="M48" i="26"/>
  <c r="L48" i="26"/>
  <c r="K48" i="26"/>
  <c r="E48" i="26"/>
  <c r="D48" i="26"/>
  <c r="K43" i="26"/>
  <c r="J43" i="26"/>
  <c r="I43" i="26"/>
  <c r="Q39" i="26"/>
  <c r="Q37" i="26" s="1"/>
  <c r="P35" i="26"/>
  <c r="L35" i="26"/>
  <c r="N35" i="26" s="1"/>
  <c r="F35" i="26"/>
  <c r="P34" i="26"/>
  <c r="L34" i="26"/>
  <c r="F34" i="26"/>
  <c r="M33" i="26"/>
  <c r="K33" i="26"/>
  <c r="J33" i="26"/>
  <c r="I33" i="26"/>
  <c r="G33" i="26"/>
  <c r="E33" i="26"/>
  <c r="D33" i="26"/>
  <c r="C33" i="26"/>
  <c r="C40" i="26" s="1"/>
  <c r="P27" i="26"/>
  <c r="F27" i="26"/>
  <c r="O27" i="26" s="1"/>
  <c r="G25" i="26"/>
  <c r="E25" i="26"/>
  <c r="D25" i="26"/>
  <c r="P23" i="26"/>
  <c r="P22" i="26"/>
  <c r="P21" i="26"/>
  <c r="F21" i="26"/>
  <c r="P20" i="26"/>
  <c r="F20" i="26"/>
  <c r="O20" i="26" s="1"/>
  <c r="P17" i="26"/>
  <c r="L17" i="26"/>
  <c r="O17" i="26" s="1"/>
  <c r="M16" i="26"/>
  <c r="K16" i="26"/>
  <c r="J16" i="26"/>
  <c r="I16" i="26"/>
  <c r="O13" i="26"/>
  <c r="E12" i="26"/>
  <c r="N10" i="26"/>
  <c r="P9" i="26"/>
  <c r="O9" i="26"/>
  <c r="F8" i="26"/>
  <c r="H96" i="25"/>
  <c r="F96" i="25"/>
  <c r="E96" i="25"/>
  <c r="D96" i="25"/>
  <c r="G95" i="25"/>
  <c r="G96" i="25" s="1"/>
  <c r="H87" i="25"/>
  <c r="E87" i="25"/>
  <c r="D87" i="25"/>
  <c r="G86" i="25"/>
  <c r="G81" i="25"/>
  <c r="G79" i="25"/>
  <c r="T78" i="25"/>
  <c r="G78" i="25"/>
  <c r="H76" i="25"/>
  <c r="F76" i="25"/>
  <c r="E76" i="25"/>
  <c r="D76" i="25"/>
  <c r="G75" i="25"/>
  <c r="I75" i="25" s="1"/>
  <c r="G74" i="25"/>
  <c r="H73" i="25"/>
  <c r="H72" i="25" s="1"/>
  <c r="F73" i="25"/>
  <c r="F70" i="25" s="1"/>
  <c r="F56" i="25" s="1"/>
  <c r="E73" i="25"/>
  <c r="E70" i="25" s="1"/>
  <c r="E56" i="25" s="1"/>
  <c r="D73" i="25"/>
  <c r="D72" i="25" s="1"/>
  <c r="D71" i="25" s="1"/>
  <c r="D70" i="25" s="1"/>
  <c r="D56" i="25" s="1"/>
  <c r="G55" i="25"/>
  <c r="G54" i="25" s="1"/>
  <c r="H54" i="25"/>
  <c r="F54" i="25"/>
  <c r="E54" i="25"/>
  <c r="D54" i="25"/>
  <c r="G53" i="25"/>
  <c r="I53" i="25" s="1"/>
  <c r="G52" i="25"/>
  <c r="F51" i="25"/>
  <c r="F50" i="25" s="1"/>
  <c r="E51" i="25"/>
  <c r="E50" i="25" s="1"/>
  <c r="D51" i="25"/>
  <c r="D50" i="25" s="1"/>
  <c r="G41" i="25"/>
  <c r="G40" i="25"/>
  <c r="I40" i="25" s="1"/>
  <c r="H39" i="25"/>
  <c r="F39" i="25"/>
  <c r="E39" i="25"/>
  <c r="D39" i="25"/>
  <c r="G38" i="25"/>
  <c r="H37" i="25"/>
  <c r="D37" i="25"/>
  <c r="G36" i="25"/>
  <c r="I36" i="25" s="1"/>
  <c r="G35" i="25"/>
  <c r="I35" i="25" s="1"/>
  <c r="F34" i="25"/>
  <c r="E34" i="25"/>
  <c r="D34" i="25"/>
  <c r="G33" i="25"/>
  <c r="G32" i="25"/>
  <c r="F31" i="25"/>
  <c r="E31" i="25"/>
  <c r="D31" i="25"/>
  <c r="G30" i="25"/>
  <c r="I30" i="25" s="1"/>
  <c r="G29" i="25"/>
  <c r="I29" i="25" s="1"/>
  <c r="H28" i="25"/>
  <c r="F28" i="25"/>
  <c r="E28" i="25"/>
  <c r="D28" i="25"/>
  <c r="G27" i="25"/>
  <c r="G25" i="25"/>
  <c r="I25" i="25" s="1"/>
  <c r="G24" i="25"/>
  <c r="H23" i="25"/>
  <c r="H22" i="25" s="1"/>
  <c r="E23" i="25"/>
  <c r="E22" i="25" s="1"/>
  <c r="D23" i="25"/>
  <c r="D22" i="25" s="1"/>
  <c r="D21" i="25" s="1"/>
  <c r="D20" i="25" s="1"/>
  <c r="F22" i="25"/>
  <c r="F21" i="25" s="1"/>
  <c r="F20" i="25" s="1"/>
  <c r="G18" i="25"/>
  <c r="I18" i="25" s="1"/>
  <c r="G17" i="25"/>
  <c r="G16" i="25"/>
  <c r="D15" i="25"/>
  <c r="E12" i="25"/>
  <c r="E11" i="25" s="1"/>
  <c r="E10" i="25" s="1"/>
  <c r="E9" i="25" s="1"/>
  <c r="G13" i="25"/>
  <c r="F12" i="25"/>
  <c r="F11" i="25" s="1"/>
  <c r="F10" i="25" s="1"/>
  <c r="F9" i="25" s="1"/>
  <c r="E26" i="25" l="1"/>
  <c r="F26" i="25"/>
  <c r="H83" i="26"/>
  <c r="F82" i="26"/>
  <c r="H82" i="26" s="1"/>
  <c r="L46" i="26"/>
  <c r="M46" i="26"/>
  <c r="M43" i="26" s="1"/>
  <c r="H26" i="25"/>
  <c r="D26" i="25"/>
  <c r="D19" i="25" s="1"/>
  <c r="I78" i="25"/>
  <c r="AF78" i="25" s="1"/>
  <c r="G77" i="25"/>
  <c r="E46" i="26"/>
  <c r="E43" i="26" s="1"/>
  <c r="J40" i="26"/>
  <c r="J90" i="26" s="1"/>
  <c r="I40" i="26"/>
  <c r="I90" i="26" s="1"/>
  <c r="D40" i="26"/>
  <c r="E40" i="26"/>
  <c r="K40" i="26"/>
  <c r="G40" i="26"/>
  <c r="M40" i="26"/>
  <c r="O63" i="26"/>
  <c r="Q63" i="26" s="1"/>
  <c r="Q9" i="26"/>
  <c r="D49" i="25"/>
  <c r="D48" i="25" s="1"/>
  <c r="G76" i="25"/>
  <c r="I76" i="25" s="1"/>
  <c r="AF76" i="25" s="1"/>
  <c r="G87" i="25"/>
  <c r="G51" i="25"/>
  <c r="G73" i="25"/>
  <c r="I73" i="25" s="1"/>
  <c r="AF73" i="25" s="1"/>
  <c r="G79" i="26"/>
  <c r="G15" i="25"/>
  <c r="G28" i="25"/>
  <c r="I28" i="25" s="1"/>
  <c r="AF28" i="25" s="1"/>
  <c r="I33" i="25"/>
  <c r="I41" i="25"/>
  <c r="AF41" i="25" s="1"/>
  <c r="E49" i="25"/>
  <c r="E48" i="25" s="1"/>
  <c r="I79" i="25"/>
  <c r="AF79" i="25" s="1"/>
  <c r="G23" i="25"/>
  <c r="I23" i="25" s="1"/>
  <c r="G31" i="25"/>
  <c r="G37" i="25"/>
  <c r="I37" i="25" s="1"/>
  <c r="AF37" i="25" s="1"/>
  <c r="I24" i="25"/>
  <c r="I27" i="25"/>
  <c r="AF27" i="25" s="1"/>
  <c r="I32" i="25"/>
  <c r="G34" i="25"/>
  <c r="I34" i="25" s="1"/>
  <c r="I38" i="25"/>
  <c r="F49" i="25"/>
  <c r="F48" i="25" s="1"/>
  <c r="F23" i="26"/>
  <c r="O23" i="26" s="1"/>
  <c r="Q23" i="26" s="1"/>
  <c r="H85" i="26"/>
  <c r="P26" i="26"/>
  <c r="P25" i="26" s="1"/>
  <c r="C52" i="26"/>
  <c r="D79" i="26"/>
  <c r="D46" i="26" s="1"/>
  <c r="P19" i="26"/>
  <c r="H75" i="26"/>
  <c r="Q27" i="26"/>
  <c r="P85" i="26"/>
  <c r="Q88" i="26"/>
  <c r="R56" i="26"/>
  <c r="Q67" i="26"/>
  <c r="G73" i="26"/>
  <c r="H80" i="26"/>
  <c r="F33" i="26"/>
  <c r="H67" i="26"/>
  <c r="R80" i="26"/>
  <c r="R67" i="26"/>
  <c r="O79" i="26"/>
  <c r="H21" i="26"/>
  <c r="R27" i="26"/>
  <c r="L16" i="26"/>
  <c r="N17" i="26"/>
  <c r="F22" i="26"/>
  <c r="F26" i="26"/>
  <c r="O26" i="26" s="1"/>
  <c r="G52" i="26"/>
  <c r="Q62" i="26"/>
  <c r="F103" i="26"/>
  <c r="R74" i="26"/>
  <c r="L33" i="26"/>
  <c r="N33" i="26" s="1"/>
  <c r="P76" i="26"/>
  <c r="Q76" i="26" s="1"/>
  <c r="H87" i="26"/>
  <c r="R17" i="26"/>
  <c r="O35" i="26"/>
  <c r="Q35" i="26" s="1"/>
  <c r="L43" i="26"/>
  <c r="P70" i="26"/>
  <c r="C84" i="26"/>
  <c r="Q56" i="26"/>
  <c r="F66" i="26"/>
  <c r="H66" i="26" s="1"/>
  <c r="F84" i="26"/>
  <c r="H20" i="26"/>
  <c r="P33" i="26"/>
  <c r="H56" i="26"/>
  <c r="Q57" i="26"/>
  <c r="H74" i="26"/>
  <c r="P86" i="26"/>
  <c r="R86" i="26" s="1"/>
  <c r="P13" i="26"/>
  <c r="P12" i="26" s="1"/>
  <c r="P16" i="26"/>
  <c r="O34" i="26"/>
  <c r="R34" i="26" s="1"/>
  <c r="H55" i="26"/>
  <c r="H57" i="26"/>
  <c r="O61" i="26"/>
  <c r="Q61" i="26" s="1"/>
  <c r="O64" i="26"/>
  <c r="Q64" i="26" s="1"/>
  <c r="O71" i="26"/>
  <c r="P79" i="26"/>
  <c r="Q20" i="26"/>
  <c r="R87" i="26"/>
  <c r="Q87" i="26"/>
  <c r="R57" i="26"/>
  <c r="O16" i="26"/>
  <c r="Q17" i="26"/>
  <c r="Q16" i="26" s="1"/>
  <c r="R20" i="26"/>
  <c r="P48" i="26"/>
  <c r="Q50" i="26"/>
  <c r="R50" i="26"/>
  <c r="Q55" i="26"/>
  <c r="R55" i="26"/>
  <c r="Q58" i="26"/>
  <c r="R58" i="26"/>
  <c r="R62" i="26"/>
  <c r="P60" i="26"/>
  <c r="O49" i="26"/>
  <c r="R49" i="26" s="1"/>
  <c r="F48" i="26"/>
  <c r="R88" i="26"/>
  <c r="O10" i="26"/>
  <c r="Q10" i="26" s="1"/>
  <c r="C48" i="26"/>
  <c r="H53" i="26"/>
  <c r="F54" i="26"/>
  <c r="F52" i="26" s="1"/>
  <c r="C60" i="26"/>
  <c r="Q74" i="26"/>
  <c r="P75" i="26"/>
  <c r="Q75" i="26" s="1"/>
  <c r="F79" i="26"/>
  <c r="Q80" i="26"/>
  <c r="O85" i="26"/>
  <c r="P52" i="26"/>
  <c r="O53" i="26"/>
  <c r="R53" i="26" s="1"/>
  <c r="H58" i="26"/>
  <c r="H76" i="26"/>
  <c r="H8" i="26"/>
  <c r="O8" i="26"/>
  <c r="Q8" i="26" s="1"/>
  <c r="O21" i="26"/>
  <c r="N34" i="26"/>
  <c r="H49" i="26"/>
  <c r="H50" i="26"/>
  <c r="H68" i="26"/>
  <c r="O83" i="26"/>
  <c r="O82" i="26" s="1"/>
  <c r="O66" i="26"/>
  <c r="H86" i="26"/>
  <c r="H88" i="26"/>
  <c r="H13" i="26"/>
  <c r="G60" i="26"/>
  <c r="H62" i="26"/>
  <c r="P68" i="26"/>
  <c r="H70" i="26"/>
  <c r="G22" i="25"/>
  <c r="G21" i="25" s="1"/>
  <c r="E21" i="25"/>
  <c r="E20" i="25" s="1"/>
  <c r="I96" i="25"/>
  <c r="G39" i="25"/>
  <c r="I54" i="25"/>
  <c r="AF54" i="25" s="1"/>
  <c r="G14" i="25"/>
  <c r="G12" i="25" s="1"/>
  <c r="H21" i="25"/>
  <c r="H71" i="25"/>
  <c r="I74" i="25"/>
  <c r="I95" i="25"/>
  <c r="D12" i="25"/>
  <c r="I55" i="25"/>
  <c r="AF55" i="25" s="1"/>
  <c r="I81" i="25"/>
  <c r="AF81" i="25" s="1"/>
  <c r="E19" i="25" l="1"/>
  <c r="E8" i="25" s="1"/>
  <c r="E7" i="25" s="1"/>
  <c r="E82" i="25" s="1"/>
  <c r="F19" i="25"/>
  <c r="F8" i="25" s="1"/>
  <c r="F7" i="25" s="1"/>
  <c r="F82" i="25" s="1"/>
  <c r="T79" i="25"/>
  <c r="G26" i="25"/>
  <c r="I26" i="25" s="1"/>
  <c r="C46" i="26"/>
  <c r="C43" i="26" s="1"/>
  <c r="U78" i="25"/>
  <c r="I77" i="25"/>
  <c r="AF77" i="25" s="1"/>
  <c r="G46" i="26"/>
  <c r="G43" i="26" s="1"/>
  <c r="P40" i="26"/>
  <c r="N16" i="26"/>
  <c r="L40" i="26"/>
  <c r="N40" i="26" s="1"/>
  <c r="H79" i="26"/>
  <c r="R63" i="26"/>
  <c r="R13" i="26"/>
  <c r="G50" i="25"/>
  <c r="G49" i="25" s="1"/>
  <c r="Q13" i="26"/>
  <c r="H84" i="26"/>
  <c r="G72" i="25"/>
  <c r="I72" i="25" s="1"/>
  <c r="AF72" i="25" s="1"/>
  <c r="F19" i="26"/>
  <c r="AF34" i="25"/>
  <c r="AG34" i="25" s="1"/>
  <c r="R16" i="26"/>
  <c r="R26" i="26"/>
  <c r="I31" i="25"/>
  <c r="AF31" i="25" s="1"/>
  <c r="R23" i="26"/>
  <c r="D43" i="26"/>
  <c r="D90" i="26" s="1"/>
  <c r="R35" i="26"/>
  <c r="H12" i="26"/>
  <c r="M90" i="26"/>
  <c r="H52" i="26"/>
  <c r="R61" i="26"/>
  <c r="E90" i="26"/>
  <c r="F25" i="26"/>
  <c r="H25" i="26" s="1"/>
  <c r="Q60" i="26"/>
  <c r="H26" i="26"/>
  <c r="F60" i="26"/>
  <c r="H60" i="26" s="1"/>
  <c r="O33" i="26"/>
  <c r="R33" i="26" s="1"/>
  <c r="O25" i="26"/>
  <c r="R25" i="26" s="1"/>
  <c r="Q34" i="26"/>
  <c r="Q33" i="26" s="1"/>
  <c r="Q26" i="26"/>
  <c r="Q25" i="26" s="1"/>
  <c r="R79" i="26"/>
  <c r="Q71" i="26"/>
  <c r="Q70" i="26" s="1"/>
  <c r="O70" i="26"/>
  <c r="R70" i="26" s="1"/>
  <c r="O14" i="26"/>
  <c r="H14" i="26"/>
  <c r="F73" i="26"/>
  <c r="H73" i="26" s="1"/>
  <c r="O60" i="26"/>
  <c r="R60" i="26" s="1"/>
  <c r="O22" i="26"/>
  <c r="O19" i="26" s="1"/>
  <c r="H22" i="26"/>
  <c r="R76" i="26"/>
  <c r="R64" i="26"/>
  <c r="Q79" i="26"/>
  <c r="R71" i="26"/>
  <c r="Q86" i="26"/>
  <c r="P84" i="26"/>
  <c r="R8" i="26"/>
  <c r="O48" i="26"/>
  <c r="Q49" i="26"/>
  <c r="Q48" i="26" s="1"/>
  <c r="Q83" i="26"/>
  <c r="Q82" i="26" s="1"/>
  <c r="R82" i="26"/>
  <c r="R83" i="26"/>
  <c r="H48" i="26"/>
  <c r="R85" i="26"/>
  <c r="Q85" i="26"/>
  <c r="O84" i="26"/>
  <c r="P66" i="26"/>
  <c r="R66" i="26" s="1"/>
  <c r="Q68" i="26"/>
  <c r="R68" i="26"/>
  <c r="Q53" i="26"/>
  <c r="R10" i="26"/>
  <c r="Q21" i="26"/>
  <c r="R21" i="26"/>
  <c r="O54" i="26"/>
  <c r="H54" i="26"/>
  <c r="P73" i="26"/>
  <c r="R75" i="26"/>
  <c r="G11" i="25"/>
  <c r="G20" i="25"/>
  <c r="I22" i="25"/>
  <c r="H20" i="25"/>
  <c r="I21" i="25"/>
  <c r="AF21" i="25" s="1"/>
  <c r="D11" i="25"/>
  <c r="D10" i="25" s="1"/>
  <c r="D9" i="25" s="1"/>
  <c r="H70" i="25"/>
  <c r="H56" i="25" s="1"/>
  <c r="I39" i="25"/>
  <c r="AF39" i="25" s="1"/>
  <c r="G48" i="25" l="1"/>
  <c r="G19" i="25" s="1"/>
  <c r="AF19" i="25" s="1"/>
  <c r="D8" i="25"/>
  <c r="D7" i="25" s="1"/>
  <c r="D82" i="25" s="1"/>
  <c r="P46" i="26"/>
  <c r="F46" i="26"/>
  <c r="F43" i="26" s="1"/>
  <c r="R19" i="26"/>
  <c r="H19" i="26"/>
  <c r="F40" i="26"/>
  <c r="C90" i="26"/>
  <c r="U43" i="26"/>
  <c r="K90" i="26"/>
  <c r="G71" i="25"/>
  <c r="I71" i="25" s="1"/>
  <c r="AF71" i="25" s="1"/>
  <c r="L90" i="26"/>
  <c r="Q66" i="26"/>
  <c r="R14" i="26"/>
  <c r="Q14" i="26"/>
  <c r="Q12" i="26" s="1"/>
  <c r="O12" i="26"/>
  <c r="O40" i="26" s="1"/>
  <c r="Q73" i="26"/>
  <c r="O73" i="26"/>
  <c r="R73" i="26" s="1"/>
  <c r="R84" i="26"/>
  <c r="Q22" i="26"/>
  <c r="Q19" i="26" s="1"/>
  <c r="R22" i="26"/>
  <c r="Q84" i="26"/>
  <c r="Q54" i="26"/>
  <c r="Q52" i="26" s="1"/>
  <c r="R54" i="26"/>
  <c r="O52" i="26"/>
  <c r="R52" i="26" s="1"/>
  <c r="R48" i="26"/>
  <c r="I20" i="25"/>
  <c r="AF20" i="25" s="1"/>
  <c r="G10" i="25"/>
  <c r="Q46" i="26" l="1"/>
  <c r="Q43" i="26" s="1"/>
  <c r="O46" i="26"/>
  <c r="O43" i="26" s="1"/>
  <c r="Q40" i="26"/>
  <c r="G70" i="25"/>
  <c r="G56" i="25" s="1"/>
  <c r="F90" i="26"/>
  <c r="H40" i="26"/>
  <c r="R40" i="26"/>
  <c r="R12" i="26"/>
  <c r="P43" i="26"/>
  <c r="P90" i="26" s="1"/>
  <c r="G90" i="26"/>
  <c r="H43" i="26"/>
  <c r="H46" i="26"/>
  <c r="G9" i="25"/>
  <c r="G8" i="25" s="1"/>
  <c r="I70" i="25" l="1"/>
  <c r="AF70" i="25" s="1"/>
  <c r="I56" i="25"/>
  <c r="Q90" i="26"/>
  <c r="O90" i="26"/>
  <c r="R46" i="26"/>
  <c r="R43" i="26"/>
  <c r="AF56" i="25" l="1"/>
  <c r="G7" i="25"/>
  <c r="G82" i="25" s="1"/>
  <c r="R90" i="26"/>
  <c r="I13" i="25" l="1"/>
  <c r="I14" i="25"/>
  <c r="J13" i="25"/>
  <c r="H12" i="25"/>
  <c r="I12" i="25" l="1"/>
  <c r="AF12" i="25" s="1"/>
  <c r="I16" i="25"/>
  <c r="I52" i="25" l="1"/>
  <c r="H51" i="25"/>
  <c r="I51" i="25" s="1"/>
  <c r="AF51" i="25" s="1"/>
  <c r="H50" i="25" l="1"/>
  <c r="I50" i="25" l="1"/>
  <c r="AF50" i="25" s="1"/>
  <c r="H49" i="25"/>
  <c r="H48" i="25" l="1"/>
  <c r="I49" i="25"/>
  <c r="AF49" i="25" s="1"/>
  <c r="H19" i="25" l="1"/>
  <c r="I48" i="25"/>
  <c r="AF48" i="25" s="1"/>
  <c r="I19" i="25" l="1"/>
  <c r="I17" i="25"/>
  <c r="H15" i="25"/>
  <c r="I15" i="25" s="1"/>
  <c r="AF15" i="25" s="1"/>
  <c r="H11" i="25" l="1"/>
  <c r="I11" i="25" l="1"/>
  <c r="AF11" i="25" s="1"/>
  <c r="H10" i="25"/>
  <c r="H9" i="25" l="1"/>
  <c r="I10" i="25"/>
  <c r="AF10" i="25" s="1"/>
  <c r="I9" i="25" l="1"/>
  <c r="H8" i="25"/>
  <c r="H7" i="25" l="1"/>
  <c r="I8" i="25"/>
  <c r="H82" i="25" l="1"/>
  <c r="I7" i="25"/>
  <c r="I82" i="25" l="1"/>
  <c r="AH83" i="25" l="1"/>
  <c r="AF82" i="25"/>
</calcChain>
</file>

<file path=xl/sharedStrings.xml><?xml version="1.0" encoding="utf-8"?>
<sst xmlns="http://schemas.openxmlformats.org/spreadsheetml/2006/main" count="326" uniqueCount="296">
  <si>
    <t>NIVEL RENTISTICO</t>
  </si>
  <si>
    <t>Donaciones</t>
  </si>
  <si>
    <t>Funcionamiento</t>
  </si>
  <si>
    <t>CONCEPTO</t>
  </si>
  <si>
    <t>RECURSOS PROPIOS
$</t>
  </si>
  <si>
    <t>RECURSOS DE LA NACION 
$</t>
  </si>
  <si>
    <t>GASTOS DE PERSONAL</t>
  </si>
  <si>
    <t>Sentencias y Conciliaciones</t>
  </si>
  <si>
    <t>TOTAL GASTOS DE FUNCIONAMIENTO</t>
  </si>
  <si>
    <t xml:space="preserve">TOTAL PRESUPUESTO  </t>
  </si>
  <si>
    <t>CORPORACION AUTONOMA REGIONAL DEL MAGDALENA "CORPAMAG"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</si>
  <si>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</si>
  <si>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</si>
  <si>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</si>
  <si>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</si>
  <si>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</si>
  <si>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</si>
  <si>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</si>
  <si>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</si>
  <si>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</si>
  <si>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</si>
  <si>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</si>
  <si>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</si>
  <si>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</si>
  <si>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</si>
  <si>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</si>
  <si>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</si>
  <si>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</si>
  <si>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</si>
  <si>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</si>
  <si>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</si>
  <si>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</si>
  <si>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</si>
  <si>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</si>
  <si>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</si>
  <si>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</si>
  <si>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</si>
  <si>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</si>
  <si>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</si>
  <si>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</si>
  <si>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</si>
  <si>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</si>
  <si>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</si>
  <si>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</si>
  <si>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</si>
  <si>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</si>
  <si>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</si>
  <si>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</si>
  <si>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3202-0900-04 R20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</si>
  <si>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</si>
  <si>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</si>
  <si>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</si>
  <si>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</si>
  <si>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</si>
  <si>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</si>
  <si>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</si>
  <si>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8.1 Ordenamiento y manejo integral del terriorio marino costero.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</si>
  <si>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</si>
  <si>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</si>
  <si>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</si>
  <si>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</si>
  <si>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</si>
  <si>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</si>
  <si>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</si>
  <si>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</si>
  <si>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3207-0900-01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</si>
  <si>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</si>
  <si>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</si>
  <si>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</si>
  <si>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</si>
  <si>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</si>
  <si>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</si>
  <si>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8. GESTIÓN INTEGRAL DE MARES, COSTAS Y RECURSOS ACUÁTICOS  </t>
  </si>
  <si>
    <t xml:space="preserve">PROGRAMA 9. FORTALECIMIENTO DE LA GESTIÓN Y DIRECCIÓN DEL SECTOR AMBIENTE Y DESARROLLO SOSTENIBLE </t>
  </si>
  <si>
    <t>9.3 Gestión de las comunicacionales.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</si>
  <si>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</si>
  <si>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</si>
  <si>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</si>
  <si>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</si>
  <si>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</si>
  <si>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</si>
  <si>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VIGENCIA 2021</t>
  </si>
  <si>
    <t>3201-0900-05 R20</t>
  </si>
  <si>
    <t>3205-0900-01 R20</t>
  </si>
  <si>
    <t>ADICIONES</t>
  </si>
  <si>
    <t>REDUCCIONES</t>
  </si>
  <si>
    <t>TOTAL INGRESOS VIGENCIA 2021</t>
  </si>
  <si>
    <t>2.1.1 R 20</t>
  </si>
  <si>
    <t>2.1.1 R 21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</si>
  <si>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</si>
  <si>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</si>
  <si>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</si>
  <si>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</si>
  <si>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</si>
  <si>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</si>
  <si>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</si>
  <si>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</si>
  <si>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</si>
  <si>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</si>
  <si>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</si>
  <si>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</si>
  <si>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</si>
  <si>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</si>
  <si>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2.1.3.05 R 20</t>
  </si>
  <si>
    <t>A entidades del gobierno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</si>
  <si>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</si>
  <si>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</si>
  <si>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</si>
  <si>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</si>
  <si>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</si>
  <si>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</si>
  <si>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</si>
  <si>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</si>
  <si>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</si>
  <si>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 R 10</t>
  </si>
  <si>
    <t>08-01 R 10</t>
  </si>
  <si>
    <t>08-04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</si>
  <si>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</si>
  <si>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</si>
  <si>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</si>
  <si>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</si>
  <si>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</si>
  <si>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</si>
  <si>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</si>
  <si>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</si>
  <si>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</si>
  <si>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</si>
  <si>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</si>
  <si>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</si>
  <si>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</si>
  <si>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</si>
  <si>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</si>
  <si>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</si>
  <si>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</si>
  <si>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</si>
  <si>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</si>
  <si>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</si>
  <si>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</si>
  <si>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</si>
  <si>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</si>
  <si>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</si>
  <si>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</si>
  <si>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</si>
  <si>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</si>
  <si>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</si>
  <si>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</si>
  <si>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</si>
  <si>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</si>
  <si>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</si>
  <si>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</si>
  <si>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</si>
  <si>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</si>
  <si>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</si>
  <si>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</si>
  <si>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</si>
  <si>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</si>
  <si>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</si>
  <si>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</si>
  <si>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</si>
  <si>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</si>
  <si>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</si>
  <si>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</si>
  <si>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1.1.02.06.003.03</t>
  </si>
  <si>
    <t>Participación en multas, sanciones e intereses de mora</t>
  </si>
  <si>
    <t>1.1.02.06.003.03.03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</si>
  <si>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</si>
  <si>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</si>
  <si>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</si>
  <si>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</si>
  <si>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</si>
  <si>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</si>
  <si>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</si>
  <si>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</si>
  <si>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</si>
  <si>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 xml:space="preserve">Participación de intereses de mora  al porcentaje de recaudo del impuesto predial 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</si>
  <si>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</si>
  <si>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</si>
  <si>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</si>
  <si>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</si>
  <si>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</si>
  <si>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</si>
  <si>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</si>
  <si>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</si>
  <si>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</si>
  <si>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</si>
  <si>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</si>
  <si>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</si>
  <si>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</si>
  <si>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</si>
  <si>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</si>
  <si>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</si>
  <si>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</si>
  <si>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</si>
  <si>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</si>
  <si>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</si>
  <si>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</si>
  <si>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</si>
  <si>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</si>
  <si>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</si>
  <si>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</si>
  <si>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</si>
  <si>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</si>
  <si>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</si>
  <si>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</si>
  <si>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</si>
  <si>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</si>
  <si>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</si>
  <si>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</si>
  <si>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</si>
  <si>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</si>
  <si>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</si>
  <si>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</si>
  <si>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</si>
  <si>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</si>
  <si>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</si>
  <si>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</si>
  <si>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</si>
  <si>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</si>
  <si>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</si>
  <si>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</si>
  <si>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</si>
  <si>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1.1.02.01.005.64.01.02</t>
  </si>
  <si>
    <t>Contribución sector eléctrico - Generadores de energía convencional-anterior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</si>
  <si>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</si>
  <si>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</si>
  <si>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</si>
  <si>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</si>
  <si>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</si>
  <si>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</si>
  <si>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</si>
  <si>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</si>
  <si>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</si>
  <si>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PRESUPUESTO REGALÍAS 2022</t>
  </si>
  <si>
    <t>TOTAL INGRESOS VIGENCIA 2022</t>
  </si>
  <si>
    <t>TOTAL INGRESOS REGALIAS VIGENCIA 2022</t>
  </si>
  <si>
    <t>10 R 10</t>
  </si>
  <si>
    <t>10-04 R 10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</si>
  <si>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</si>
  <si>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</si>
  <si>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</si>
  <si>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</si>
  <si>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</si>
  <si>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</si>
  <si>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</si>
  <si>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</si>
  <si>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</si>
  <si>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</si>
  <si>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</si>
  <si>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</si>
  <si>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</si>
  <si>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</si>
  <si>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</si>
  <si>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</si>
  <si>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</si>
  <si>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</si>
  <si>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</si>
  <si>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</si>
  <si>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</si>
  <si>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</si>
  <si>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</si>
  <si>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</si>
  <si>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</si>
  <si>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</si>
  <si>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1.2.08.01.001</t>
  </si>
  <si>
    <t>1.2.08.01.001.01</t>
  </si>
  <si>
    <t>1.2.08.01.001.02</t>
  </si>
  <si>
    <t>Banca Comercial-Banco Davivienda</t>
  </si>
  <si>
    <t>Banca Comercial-Banco Occidente</t>
  </si>
  <si>
    <t>VIGENCIA 2022</t>
  </si>
  <si>
    <t>3.4 Áreas protegidas y otras estrategías complementarias para la conservación.</t>
  </si>
  <si>
    <t>6.1 Incorporacion de la dimnesión ambiental en intrumentos de planificación del departamento.</t>
  </si>
  <si>
    <t>6.4 Implementación de acciones para la reducción del riesgo. .</t>
  </si>
  <si>
    <t>2.2.2</t>
  </si>
  <si>
    <t>2.2.2.02 R 20</t>
  </si>
  <si>
    <t>VIGENCIA 2021 - 2022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</si>
  <si>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</si>
  <si>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</si>
  <si>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</si>
  <si>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</si>
  <si>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</si>
  <si>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</si>
  <si>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</si>
  <si>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</si>
  <si>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</si>
  <si>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</si>
  <si>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</si>
  <si>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</si>
  <si>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</si>
  <si>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</si>
  <si>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</si>
  <si>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EJECUCIÓN PRESUPUESTAL DE INGRESOS - FEBRERO 2022</t>
  </si>
  <si>
    <t>RECAUDO  A FEBRERO-2022</t>
  </si>
  <si>
    <t>EJECUCIÓN PRESUPUESTAL - RECURSOS REGALÍAS FEBRERO 2022</t>
  </si>
  <si>
    <t>EJECUCIÓN PRESUPUESTAL FEBRERO 2022</t>
  </si>
  <si>
    <t>EJECUCION PRESUPUESTAL DE INGRESOS - RECURSOS REGALIAS - FEBRERO 2022</t>
  </si>
  <si>
    <t>RECAUDO A FEBRERO-2022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</si>
</sst>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</numFmts>
  <fonts count="15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39997558519241921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0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3" fontId="4" fillId="3" borderId="1" xfId="4" applyNumberFormat="1" applyFont="1" applyFill="1" applyBorder="1"/>
    <xf numFmtId="0" fontId="7" fillId="0" borderId="1" xfId="0" applyFont="1" applyBorder="1"/>
    <xf numFmtId="3" fontId="4" fillId="0" borderId="1" xfId="0" applyNumberFormat="1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0" fontId="4" fillId="0" borderId="0" xfId="0" applyFont="1" applyBorder="1"/>
    <xf numFmtId="0" fontId="4" fillId="0" borderId="1" xfId="0" applyFont="1" applyFill="1" applyBorder="1" applyProtection="1"/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 applyProtection="1">
      <alignment horizontal="left"/>
    </xf>
    <xf numFmtId="1" fontId="7" fillId="7" borderId="4" xfId="0" applyNumberFormat="1" applyFont="1" applyFill="1" applyBorder="1" applyProtection="1"/>
    <xf numFmtId="1" fontId="7" fillId="7" borderId="24" xfId="0" applyNumberFormat="1" applyFont="1" applyFill="1" applyBorder="1" applyProtection="1"/>
    <xf numFmtId="169" fontId="7" fillId="7" borderId="20" xfId="17" applyNumberFormat="1" applyFont="1" applyFill="1" applyBorder="1" applyProtection="1">
      <protection locked="0"/>
    </xf>
    <xf numFmtId="169" fontId="4" fillId="0" borderId="0" xfId="0" applyNumberFormat="1" applyFont="1" applyBorder="1"/>
    <xf numFmtId="0" fontId="13" fillId="0" borderId="0" xfId="0" applyFont="1"/>
    <xf numFmtId="1" fontId="7" fillId="3" borderId="0" xfId="0" applyNumberFormat="1" applyFont="1" applyFill="1" applyBorder="1" applyAlignment="1">
      <alignment horizontal="left"/>
    </xf>
    <xf numFmtId="1" fontId="7" fillId="3" borderId="0" xfId="0" applyNumberFormat="1" applyFont="1" applyFill="1" applyBorder="1"/>
    <xf numFmtId="170" fontId="4" fillId="0" borderId="31" xfId="17" applyNumberFormat="1" applyFont="1" applyBorder="1" applyAlignment="1">
      <alignment horizontal="left" vertical="justify"/>
    </xf>
    <xf numFmtId="49" fontId="4" fillId="0" borderId="3" xfId="0" applyNumberFormat="1" applyFont="1" applyBorder="1" applyAlignment="1">
      <alignment horizontal="left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3" fontId="3" fillId="0" borderId="32" xfId="0" applyNumberFormat="1" applyFont="1" applyBorder="1"/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3" fontId="7" fillId="0" borderId="1" xfId="0" applyNumberFormat="1" applyFont="1" applyBorder="1"/>
    <xf numFmtId="1" fontId="4" fillId="0" borderId="18" xfId="0" applyNumberFormat="1" applyFont="1" applyBorder="1" applyAlignment="1">
      <alignment horizontal="left"/>
    </xf>
    <xf numFmtId="0" fontId="4" fillId="3" borderId="18" xfId="0" applyFont="1" applyFill="1" applyBorder="1" applyAlignment="1">
      <alignment vertical="center"/>
    </xf>
    <xf numFmtId="0" fontId="4" fillId="0" borderId="19" xfId="0" applyFont="1" applyBorder="1"/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69" fontId="4" fillId="3" borderId="38" xfId="17" applyNumberFormat="1" applyFont="1" applyFill="1" applyBorder="1" applyProtection="1">
      <protection locked="0"/>
    </xf>
    <xf numFmtId="169" fontId="7" fillId="7" borderId="39" xfId="17" applyNumberFormat="1" applyFont="1" applyFill="1" applyBorder="1" applyProtection="1">
      <protection locked="0"/>
    </xf>
    <xf numFmtId="1" fontId="4" fillId="0" borderId="15" xfId="0" applyNumberFormat="1" applyFont="1" applyBorder="1" applyAlignment="1" applyProtection="1">
      <alignment horizontal="left"/>
    </xf>
    <xf numFmtId="0" fontId="4" fillId="0" borderId="15" xfId="0" applyFont="1" applyFill="1" applyBorder="1" applyProtection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2" xfId="0" applyFont="1" applyFill="1" applyBorder="1" applyAlignment="1">
      <alignment horizontal="center" vertical="center" wrapText="1"/>
    </xf>
    <xf numFmtId="170" fontId="4" fillId="3" borderId="1" xfId="17" applyNumberFormat="1" applyFont="1" applyFill="1" applyBorder="1"/>
    <xf numFmtId="169" fontId="4" fillId="0" borderId="1" xfId="17" applyNumberFormat="1" applyFont="1" applyFill="1" applyBorder="1" applyAlignment="1" applyProtection="1">
      <alignment vertical="center"/>
      <protection locked="0"/>
    </xf>
    <xf numFmtId="168" fontId="4" fillId="3" borderId="15" xfId="17" applyNumberFormat="1" applyFont="1" applyFill="1" applyBorder="1" applyProtection="1"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1" xfId="19" applyFont="1" applyFill="1" applyBorder="1" applyAlignment="1">
      <alignment horizontal="center" vertical="center"/>
    </xf>
    <xf numFmtId="9" fontId="2" fillId="5" borderId="1" xfId="19" applyFont="1" applyFill="1" applyBorder="1" applyAlignment="1">
      <alignment horizontal="center" vertical="center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7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9" borderId="32" xfId="19" applyFont="1" applyFill="1" applyBorder="1" applyAlignment="1">
      <alignment horizontal="center" vertic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3" xfId="0" applyFont="1" applyFill="1" applyBorder="1" applyAlignment="1">
      <alignment vertical="center"/>
    </xf>
    <xf numFmtId="169" fontId="4" fillId="3" borderId="44" xfId="17" applyNumberFormat="1" applyFont="1" applyFill="1" applyBorder="1" applyAlignment="1">
      <alignment vertical="center"/>
    </xf>
    <xf numFmtId="169" fontId="4" fillId="3" borderId="45" xfId="17" applyNumberFormat="1" applyFont="1" applyFill="1" applyBorder="1" applyAlignment="1">
      <alignment horizontal="left" vertical="center" wrapText="1"/>
    </xf>
    <xf numFmtId="169" fontId="4" fillId="3" borderId="45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169" fontId="7" fillId="3" borderId="7" xfId="19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0" fontId="8" fillId="9" borderId="13" xfId="0" applyFont="1" applyFill="1" applyBorder="1" applyAlignment="1">
      <alignment horizontal="center" vertical="center" wrapText="1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70" fontId="4" fillId="3" borderId="1" xfId="17" applyNumberFormat="1" applyFont="1" applyFill="1" applyBorder="1" applyProtection="1">
      <protection locked="0"/>
    </xf>
    <xf numFmtId="170" fontId="4" fillId="3" borderId="1" xfId="1" applyNumberFormat="1" applyFont="1" applyFill="1" applyBorder="1"/>
    <xf numFmtId="169" fontId="4" fillId="3" borderId="1" xfId="1" applyNumberFormat="1" applyFont="1" applyFill="1" applyBorder="1"/>
    <xf numFmtId="0" fontId="1" fillId="11" borderId="0" xfId="0" applyFont="1" applyFill="1"/>
    <xf numFmtId="169" fontId="2" fillId="3" borderId="0" xfId="0" applyNumberFormat="1" applyFont="1" applyFill="1"/>
    <xf numFmtId="169" fontId="4" fillId="3" borderId="45" xfId="17" applyNumberFormat="1" applyFont="1" applyFill="1" applyBorder="1" applyAlignment="1">
      <alignment vertical="center" wrapText="1"/>
    </xf>
    <xf numFmtId="169" fontId="4" fillId="3" borderId="30" xfId="17" applyNumberFormat="1" applyFont="1" applyFill="1" applyBorder="1" applyAlignment="1">
      <alignment vertical="center" wrapText="1"/>
    </xf>
    <xf numFmtId="169" fontId="1" fillId="3" borderId="0" xfId="17" applyNumberFormat="1" applyFont="1" applyFill="1" applyBorder="1" applyAlignment="1">
      <alignment vertical="center"/>
    </xf>
    <xf numFmtId="165" fontId="1" fillId="3" borderId="0" xfId="0" applyNumberFormat="1" applyFont="1" applyFill="1"/>
    <xf numFmtId="169" fontId="7" fillId="3" borderId="18" xfId="17" applyNumberFormat="1" applyFont="1" applyFill="1" applyBorder="1" applyProtection="1">
      <protection locked="0"/>
    </xf>
    <xf numFmtId="1" fontId="7" fillId="0" borderId="18" xfId="0" applyNumberFormat="1" applyFont="1" applyBorder="1" applyAlignment="1">
      <alignment horizontal="left"/>
    </xf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5" fontId="4" fillId="0" borderId="0" xfId="1" applyFont="1"/>
    <xf numFmtId="165" fontId="7" fillId="12" borderId="47" xfId="1" applyFont="1" applyFill="1" applyBorder="1" applyAlignment="1">
      <alignment horizontal="left" vertical="justify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40" xfId="0" applyNumberFormat="1" applyFont="1" applyFill="1" applyBorder="1" applyAlignment="1" applyProtection="1">
      <alignment horizontal="center" vertical="top" wrapText="1"/>
    </xf>
    <xf numFmtId="1" fontId="12" fillId="7" borderId="31" xfId="0" applyNumberFormat="1" applyFont="1" applyFill="1" applyBorder="1" applyAlignment="1" applyProtection="1">
      <alignment horizontal="center" vertical="top" wrapText="1"/>
    </xf>
    <xf numFmtId="1" fontId="12" fillId="7" borderId="41" xfId="0" applyNumberFormat="1" applyFont="1" applyFill="1" applyBorder="1" applyAlignment="1" applyProtection="1">
      <alignment horizontal="center" vertical="top" wrapText="1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3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70" fontId="4" fillId="3" borderId="1" xfId="1" applyNumberFormat="1" applyFont="1" applyFill="1" applyBorder="1" applyProtection="1">
      <protection locked="0"/>
    </xf>
    <xf numFmtId="170" fontId="7" fillId="3" borderId="1" xfId="17" applyNumberFormat="1" applyFont="1" applyFill="1" applyBorder="1"/>
    <xf numFmtId="170" fontId="4" fillId="3" borderId="46" xfId="17" applyNumberFormat="1" applyFont="1" applyFill="1" applyBorder="1" applyAlignment="1">
      <alignment horizontal="left" vertical="justify"/>
    </xf>
    <xf numFmtId="169" fontId="7" fillId="3" borderId="20" xfId="17" applyNumberFormat="1" applyFont="1" applyFill="1" applyBorder="1"/>
    <xf numFmtId="170" fontId="7" fillId="3" borderId="1" xfId="1" applyNumberFormat="1" applyFont="1" applyFill="1" applyBorder="1"/>
    <xf numFmtId="165" fontId="1" fillId="3" borderId="0" xfId="17" applyFont="1" applyFill="1"/>
    <xf numFmtId="169" fontId="7" fillId="13" borderId="1" xfId="17" applyNumberFormat="1" applyFont="1" applyFill="1" applyBorder="1"/>
  </cellXfs>
  <cellStyles count="22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104775</xdr:colOff>
      <xdr:row>4</xdr:row>
      <xdr:rowOff>123825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uario\Documents\CORPAMAG\MODIFICACION-PAC%20NACION\PAC%202018-NACION\PAC%20VIGENCIA%202018\PAC%20VIGENCIA%20A%20MYO%2029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2"/>
  <sheetViews>
    <sheetView tabSelected="1" zoomScaleNormal="100" workbookViewId="0">
      <pane ySplit="6" topLeftCell="A84" activePane="bottomLeft" state="frozen"/>
      <selection pane="bottomLeft" activeCell="H95" sqref="H95"/>
    </sheetView>
  </sheetViews>
  <sheetFormatPr baseColWidth="10" defaultColWidth="11.42578125" defaultRowHeight="12"/>
  <cols>
    <col min="1" max="1" width="10.5703125" style="1" customWidth="1"/>
    <col min="2" max="2" width="19.140625" style="14" customWidth="1"/>
    <col min="3" max="3" width="64.85546875" style="1" customWidth="1"/>
    <col min="4" max="4" width="15.28515625" style="1" bestFit="1" customWidth="1"/>
    <col min="5" max="6" width="15.7109375" style="1" customWidth="1"/>
    <col min="7" max="7" width="14.85546875" style="12" customWidth="1"/>
    <col min="8" max="8" width="16.85546875" style="1" customWidth="1"/>
    <col min="9" max="9" width="10.42578125" style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55" customWidth="1"/>
    <col min="15" max="15" width="15.28515625" style="154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54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1:36" ht="12.75" thickBot="1">
      <c r="B1" s="217" t="s">
        <v>18</v>
      </c>
      <c r="C1" s="218"/>
      <c r="D1" s="218"/>
      <c r="E1" s="218"/>
      <c r="F1" s="218"/>
      <c r="G1" s="218"/>
      <c r="H1" s="218"/>
      <c r="I1" s="219"/>
    </row>
    <row r="2" spans="1:36">
      <c r="B2" s="208" t="s">
        <v>19</v>
      </c>
      <c r="C2" s="209"/>
      <c r="D2" s="209"/>
      <c r="E2" s="209"/>
      <c r="F2" s="209"/>
      <c r="G2" s="209"/>
      <c r="H2" s="209"/>
      <c r="I2" s="210"/>
      <c r="J2" s="184"/>
      <c r="K2" s="184"/>
      <c r="L2" s="184"/>
    </row>
    <row r="3" spans="1:36">
      <c r="B3" s="211" t="s">
        <v>227</v>
      </c>
      <c r="C3" s="212"/>
      <c r="D3" s="212"/>
      <c r="E3" s="212"/>
      <c r="F3" s="212"/>
      <c r="G3" s="212"/>
      <c r="H3" s="212"/>
      <c r="I3" s="213"/>
      <c r="J3" s="184"/>
      <c r="K3" s="184"/>
      <c r="L3" s="184"/>
    </row>
    <row r="4" spans="1:36">
      <c r="B4" s="211" t="s">
        <v>268</v>
      </c>
      <c r="C4" s="212"/>
      <c r="D4" s="212"/>
      <c r="E4" s="212"/>
      <c r="F4" s="212"/>
      <c r="G4" s="212"/>
      <c r="H4" s="212"/>
      <c r="I4" s="213"/>
      <c r="J4" s="184"/>
      <c r="K4" s="184"/>
      <c r="L4" s="184"/>
    </row>
    <row r="5" spans="1:36" ht="12.75" thickBot="1">
      <c r="B5" s="214" t="s">
        <v>290</v>
      </c>
      <c r="C5" s="215"/>
      <c r="D5" s="215"/>
      <c r="E5" s="215"/>
      <c r="F5" s="215"/>
      <c r="G5" s="215"/>
      <c r="H5" s="215"/>
      <c r="I5" s="216"/>
    </row>
    <row r="6" spans="1:36" ht="49.9" customHeight="1" thickBot="1">
      <c r="B6" s="188" t="s">
        <v>225</v>
      </c>
      <c r="C6" s="49" t="s">
        <v>0</v>
      </c>
      <c r="D6" s="49" t="s">
        <v>20</v>
      </c>
      <c r="E6" s="49" t="s">
        <v>79</v>
      </c>
      <c r="F6" s="49" t="s">
        <v>80</v>
      </c>
      <c r="G6" s="49" t="s">
        <v>21</v>
      </c>
      <c r="H6" s="50" t="s">
        <v>291</v>
      </c>
      <c r="I6" s="50" t="s">
        <v>215</v>
      </c>
    </row>
    <row r="7" spans="1:36" ht="16.5" customHeight="1">
      <c r="B7" s="97">
        <v>1</v>
      </c>
      <c r="C7" s="98" t="s">
        <v>118</v>
      </c>
      <c r="D7" s="156">
        <f>+D8+D56</f>
        <v>96785718589</v>
      </c>
      <c r="E7" s="156">
        <f>+E8+E56</f>
        <v>0</v>
      </c>
      <c r="F7" s="156">
        <f>+F8+F56</f>
        <v>0</v>
      </c>
      <c r="G7" s="156">
        <f>+G8+G56</f>
        <v>96785718589</v>
      </c>
      <c r="H7" s="156">
        <f>+H8+H56</f>
        <v>7218343688.420001</v>
      </c>
      <c r="I7" s="157">
        <f>+H7/G7</f>
        <v>7.4580669479478223E-2</v>
      </c>
      <c r="J7" s="161"/>
      <c r="L7" s="206">
        <v>7209309297.420001</v>
      </c>
      <c r="T7" s="12"/>
      <c r="AH7" s="65"/>
      <c r="AI7" s="12"/>
    </row>
    <row r="8" spans="1:36" ht="16.5" customHeight="1">
      <c r="B8" s="93" t="s">
        <v>119</v>
      </c>
      <c r="C8" s="94" t="s">
        <v>120</v>
      </c>
      <c r="D8" s="158">
        <f>+D9+D19</f>
        <v>51568644945</v>
      </c>
      <c r="E8" s="158">
        <f>+E9+E19</f>
        <v>0</v>
      </c>
      <c r="F8" s="158">
        <f>+F9+F19</f>
        <v>0</v>
      </c>
      <c r="G8" s="158">
        <f>+G9+G19</f>
        <v>51568644945</v>
      </c>
      <c r="H8" s="158">
        <f>+H9+H19</f>
        <v>7199182323.8700008</v>
      </c>
      <c r="I8" s="159">
        <f>+H8/G8</f>
        <v>0.13960386842718503</v>
      </c>
      <c r="J8" s="161"/>
      <c r="K8" s="161"/>
      <c r="L8" s="207">
        <v>7218343688.4200001</v>
      </c>
      <c r="M8" s="161"/>
      <c r="N8" s="161"/>
      <c r="AH8" s="65"/>
    </row>
    <row r="9" spans="1:36" ht="16.5" customHeight="1">
      <c r="B9" s="95" t="s">
        <v>121</v>
      </c>
      <c r="C9" s="96" t="s">
        <v>122</v>
      </c>
      <c r="D9" s="127">
        <f t="shared" ref="D9:H10" si="0">+D10</f>
        <v>26683597019</v>
      </c>
      <c r="E9" s="127">
        <f t="shared" si="0"/>
        <v>0</v>
      </c>
      <c r="F9" s="127">
        <f t="shared" si="0"/>
        <v>0</v>
      </c>
      <c r="G9" s="127">
        <f t="shared" si="0"/>
        <v>26683597019</v>
      </c>
      <c r="H9" s="127">
        <f t="shared" si="0"/>
        <v>3994412621.5100002</v>
      </c>
      <c r="I9" s="160">
        <f t="shared" ref="I9:I18" si="1">+H9/G9</f>
        <v>0.14969543344046857</v>
      </c>
      <c r="J9" s="161"/>
      <c r="K9" s="161"/>
      <c r="L9" s="206">
        <f>+L8-L7</f>
        <v>9034390.9999990463</v>
      </c>
      <c r="M9" s="161"/>
      <c r="N9" s="161"/>
      <c r="AH9" s="101"/>
      <c r="AI9" s="12"/>
    </row>
    <row r="10" spans="1:36" ht="16.5" customHeight="1">
      <c r="B10" s="53" t="s">
        <v>123</v>
      </c>
      <c r="C10" s="52" t="s">
        <v>124</v>
      </c>
      <c r="D10" s="127">
        <f t="shared" si="0"/>
        <v>26683597019</v>
      </c>
      <c r="E10" s="127">
        <f t="shared" si="0"/>
        <v>0</v>
      </c>
      <c r="F10" s="127">
        <f t="shared" si="0"/>
        <v>0</v>
      </c>
      <c r="G10" s="127">
        <f t="shared" si="0"/>
        <v>26683597019</v>
      </c>
      <c r="H10" s="127">
        <f t="shared" si="0"/>
        <v>3994412621.5100002</v>
      </c>
      <c r="I10" s="160">
        <f t="shared" si="1"/>
        <v>0.14969543344046857</v>
      </c>
      <c r="J10" s="161"/>
      <c r="K10" s="161"/>
      <c r="L10" s="161"/>
      <c r="M10" s="161"/>
      <c r="N10" s="161"/>
      <c r="AF10" s="154">
        <f>+G10-I10</f>
        <v>26683597018.850304</v>
      </c>
      <c r="AG10" s="1">
        <v>5879292</v>
      </c>
      <c r="AH10" s="102"/>
      <c r="AI10" s="82"/>
      <c r="AJ10" s="13"/>
    </row>
    <row r="11" spans="1:36" ht="16.5" customHeight="1">
      <c r="B11" s="53" t="s">
        <v>125</v>
      </c>
      <c r="C11" s="52" t="s">
        <v>126</v>
      </c>
      <c r="D11" s="127">
        <f>+D12+D15</f>
        <v>26683597019</v>
      </c>
      <c r="E11" s="127">
        <f>+E12+E15</f>
        <v>0</v>
      </c>
      <c r="F11" s="127">
        <f>+F12+F15</f>
        <v>0</v>
      </c>
      <c r="G11" s="127">
        <f>+G12+G15</f>
        <v>26683597019</v>
      </c>
      <c r="H11" s="127">
        <f>+H12+H15</f>
        <v>3994412621.5100002</v>
      </c>
      <c r="I11" s="160">
        <f t="shared" si="1"/>
        <v>0.14969543344046857</v>
      </c>
      <c r="J11" s="161"/>
      <c r="K11" s="161"/>
      <c r="L11" s="161"/>
      <c r="M11" s="161"/>
      <c r="N11" s="161"/>
      <c r="AF11" s="154">
        <f>+G11-I11</f>
        <v>26683597018.850304</v>
      </c>
      <c r="AH11" s="66"/>
    </row>
    <row r="12" spans="1:36" ht="16.5" customHeight="1">
      <c r="B12" s="93" t="s">
        <v>127</v>
      </c>
      <c r="C12" s="94" t="s">
        <v>128</v>
      </c>
      <c r="D12" s="158">
        <f>SUM(D13:D14)</f>
        <v>26660699354</v>
      </c>
      <c r="E12" s="158">
        <f>SUM(E13:E14)</f>
        <v>0</v>
      </c>
      <c r="F12" s="158">
        <f>SUM(F13:F14)</f>
        <v>0</v>
      </c>
      <c r="G12" s="158">
        <f>SUM(G13:G14)</f>
        <v>26660699354</v>
      </c>
      <c r="H12" s="158">
        <f>SUM(H13:H14)</f>
        <v>3982315641.5100002</v>
      </c>
      <c r="I12" s="159">
        <f t="shared" si="1"/>
        <v>0.14937026177119089</v>
      </c>
      <c r="J12" s="161"/>
      <c r="K12" s="161"/>
      <c r="L12" s="161"/>
      <c r="M12" s="161"/>
      <c r="N12" s="161"/>
      <c r="AF12" s="154">
        <f>+G12-I12</f>
        <v>26660699353.850628</v>
      </c>
      <c r="AH12" s="102"/>
      <c r="AI12" s="13"/>
    </row>
    <row r="13" spans="1:36" ht="16.5" customHeight="1">
      <c r="A13" s="112"/>
      <c r="B13" s="111" t="s">
        <v>175</v>
      </c>
      <c r="C13" s="105" t="s">
        <v>176</v>
      </c>
      <c r="D13" s="127">
        <f>24719783687-22897665</f>
        <v>24696886022</v>
      </c>
      <c r="E13" s="127">
        <v>0</v>
      </c>
      <c r="F13" s="127"/>
      <c r="G13" s="127">
        <f t="shared" ref="G13:G18" si="2">+D13+E13-F13</f>
        <v>24696886022</v>
      </c>
      <c r="H13" s="127">
        <v>1194868</v>
      </c>
      <c r="I13" s="160">
        <f t="shared" si="1"/>
        <v>4.838132220133384E-5</v>
      </c>
      <c r="J13" s="161">
        <f>+H13+H14+H53</f>
        <v>4115528858.5100002</v>
      </c>
      <c r="K13" s="161"/>
      <c r="L13" s="161"/>
      <c r="M13" s="161"/>
      <c r="N13" s="161"/>
      <c r="AH13" s="102"/>
      <c r="AI13" s="13"/>
    </row>
    <row r="14" spans="1:36" ht="16.5" customHeight="1">
      <c r="A14" s="112"/>
      <c r="B14" s="111" t="s">
        <v>177</v>
      </c>
      <c r="C14" s="105" t="s">
        <v>178</v>
      </c>
      <c r="D14" s="127">
        <v>1963813332</v>
      </c>
      <c r="E14" s="127">
        <v>0</v>
      </c>
      <c r="F14" s="127"/>
      <c r="G14" s="127">
        <f t="shared" si="2"/>
        <v>1963813332</v>
      </c>
      <c r="H14" s="127">
        <v>3981120773.5100002</v>
      </c>
      <c r="I14" s="160">
        <f t="shared" si="1"/>
        <v>2.0272399156469318</v>
      </c>
      <c r="J14" s="161"/>
      <c r="K14" s="161"/>
      <c r="L14" s="161"/>
      <c r="M14" s="161"/>
      <c r="N14" s="161"/>
      <c r="AH14" s="102"/>
      <c r="AI14" s="13"/>
    </row>
    <row r="15" spans="1:36" ht="16.5" customHeight="1">
      <c r="B15" s="51" t="s">
        <v>129</v>
      </c>
      <c r="C15" s="55" t="s">
        <v>130</v>
      </c>
      <c r="D15" s="158">
        <f>SUM(D16:D18)</f>
        <v>22897665</v>
      </c>
      <c r="E15" s="158">
        <f t="shared" ref="E15:F15" si="3">SUM(E16:E18)</f>
        <v>0</v>
      </c>
      <c r="F15" s="158">
        <f t="shared" si="3"/>
        <v>0</v>
      </c>
      <c r="G15" s="158">
        <f>SUM(G16:G18)</f>
        <v>22897665</v>
      </c>
      <c r="H15" s="158">
        <f>SUM(H16:H18)</f>
        <v>12096980</v>
      </c>
      <c r="I15" s="159">
        <f t="shared" si="1"/>
        <v>0.52830627053020474</v>
      </c>
      <c r="J15" s="161"/>
      <c r="K15" s="161"/>
      <c r="L15" s="161"/>
      <c r="M15" s="161"/>
      <c r="N15" s="161"/>
      <c r="AF15" s="154">
        <f>+G15-I15</f>
        <v>22897664.471693728</v>
      </c>
      <c r="AH15" s="103"/>
      <c r="AI15" s="12"/>
    </row>
    <row r="16" spans="1:36" ht="16.5" customHeight="1">
      <c r="A16" s="112"/>
      <c r="B16" s="111" t="s">
        <v>179</v>
      </c>
      <c r="C16" s="105" t="s">
        <v>180</v>
      </c>
      <c r="D16" s="127">
        <v>22897665</v>
      </c>
      <c r="E16" s="162">
        <v>0</v>
      </c>
      <c r="F16" s="162">
        <v>0</v>
      </c>
      <c r="G16" s="127">
        <f t="shared" si="2"/>
        <v>22897665</v>
      </c>
      <c r="H16" s="127">
        <v>170139</v>
      </c>
      <c r="I16" s="159">
        <f t="shared" si="1"/>
        <v>7.4304082970905547E-3</v>
      </c>
      <c r="J16" s="161"/>
      <c r="K16" s="161"/>
      <c r="L16" s="161"/>
      <c r="M16" s="161"/>
      <c r="N16" s="161"/>
      <c r="AH16" s="103"/>
      <c r="AI16" s="12"/>
    </row>
    <row r="17" spans="1:35" ht="16.5" customHeight="1">
      <c r="A17" s="112"/>
      <c r="B17" s="111" t="s">
        <v>181</v>
      </c>
      <c r="C17" s="105" t="s">
        <v>182</v>
      </c>
      <c r="D17" s="127">
        <v>0</v>
      </c>
      <c r="E17" s="162">
        <v>0</v>
      </c>
      <c r="F17" s="162">
        <v>0</v>
      </c>
      <c r="G17" s="127">
        <f t="shared" si="2"/>
        <v>0</v>
      </c>
      <c r="H17" s="127">
        <v>11926841</v>
      </c>
      <c r="I17" s="159" t="e">
        <f t="shared" si="1"/>
        <v>#DIV/0!</v>
      </c>
      <c r="J17" s="161"/>
      <c r="K17" s="161"/>
      <c r="L17" s="161"/>
      <c r="M17" s="161"/>
      <c r="N17" s="161"/>
      <c r="AH17" s="103"/>
      <c r="AI17" s="12"/>
    </row>
    <row r="18" spans="1:35" ht="16.5" customHeight="1">
      <c r="A18" s="112"/>
      <c r="B18" s="111" t="s">
        <v>183</v>
      </c>
      <c r="C18" s="105" t="s">
        <v>184</v>
      </c>
      <c r="D18" s="127">
        <v>0</v>
      </c>
      <c r="E18" s="162">
        <v>0</v>
      </c>
      <c r="F18" s="162">
        <v>0</v>
      </c>
      <c r="G18" s="127">
        <f t="shared" si="2"/>
        <v>0</v>
      </c>
      <c r="H18" s="158"/>
      <c r="I18" s="159" t="e">
        <f t="shared" si="1"/>
        <v>#DIV/0!</v>
      </c>
      <c r="J18" s="161"/>
      <c r="K18" s="161"/>
      <c r="L18" s="161"/>
      <c r="M18" s="161"/>
      <c r="N18" s="161"/>
      <c r="AH18" s="103"/>
      <c r="AI18" s="12"/>
    </row>
    <row r="19" spans="1:35" ht="16.5" customHeight="1">
      <c r="B19" s="53" t="s">
        <v>131</v>
      </c>
      <c r="C19" s="52" t="s">
        <v>132</v>
      </c>
      <c r="D19" s="57">
        <f>+D20+D26+D42+D48</f>
        <v>24885047926</v>
      </c>
      <c r="E19" s="57">
        <f t="shared" ref="E19:H19" si="4">+E20+E26+E42+E48</f>
        <v>0</v>
      </c>
      <c r="F19" s="57">
        <f t="shared" si="4"/>
        <v>0</v>
      </c>
      <c r="G19" s="57">
        <f t="shared" si="4"/>
        <v>24885047926</v>
      </c>
      <c r="H19" s="76">
        <f t="shared" si="4"/>
        <v>3204769702.3600001</v>
      </c>
      <c r="I19" s="159">
        <f>+H19/G19</f>
        <v>0.1287829427489928</v>
      </c>
      <c r="J19" s="161"/>
      <c r="K19" s="161"/>
      <c r="L19" s="161"/>
      <c r="M19" s="161"/>
      <c r="N19" s="161"/>
      <c r="AF19" s="154" t="e">
        <f>+G19-#REF!</f>
        <v>#REF!</v>
      </c>
      <c r="AH19" s="104"/>
      <c r="AI19" s="12"/>
    </row>
    <row r="20" spans="1:35" ht="16.5" customHeight="1">
      <c r="B20" s="53" t="s">
        <v>133</v>
      </c>
      <c r="C20" s="52" t="s">
        <v>109</v>
      </c>
      <c r="D20" s="127">
        <f>+D21</f>
        <v>902589355</v>
      </c>
      <c r="E20" s="162">
        <f>+E21</f>
        <v>0</v>
      </c>
      <c r="F20" s="162">
        <f>+F21</f>
        <v>0</v>
      </c>
      <c r="G20" s="165">
        <f>+G21</f>
        <v>902589355</v>
      </c>
      <c r="H20" s="127">
        <f>+H21</f>
        <v>251155376</v>
      </c>
      <c r="I20" s="160">
        <f t="shared" ref="I20:I81" si="5">+H20/G20</f>
        <v>0.27826095511618348</v>
      </c>
      <c r="J20" s="161"/>
      <c r="K20" s="161"/>
      <c r="L20" s="161"/>
      <c r="M20" s="161"/>
      <c r="N20" s="161"/>
      <c r="AF20" s="154">
        <f>+G20-I20</f>
        <v>902589354.72173905</v>
      </c>
      <c r="AH20" s="65"/>
      <c r="AI20" s="12"/>
    </row>
    <row r="21" spans="1:35" s="2" customFormat="1" ht="16.5" customHeight="1">
      <c r="B21" s="53" t="s">
        <v>134</v>
      </c>
      <c r="C21" s="52" t="s">
        <v>135</v>
      </c>
      <c r="D21" s="57">
        <f>+D22</f>
        <v>902589355</v>
      </c>
      <c r="E21" s="57">
        <f t="shared" ref="D21:F22" si="6">+E22</f>
        <v>0</v>
      </c>
      <c r="F21" s="57">
        <f t="shared" si="6"/>
        <v>0</v>
      </c>
      <c r="G21" s="126">
        <f>+G22</f>
        <v>902589355</v>
      </c>
      <c r="H21" s="76">
        <f>+H22</f>
        <v>251155376</v>
      </c>
      <c r="I21" s="160">
        <f t="shared" si="5"/>
        <v>0.27826095511618348</v>
      </c>
      <c r="J21" s="161"/>
      <c r="K21" s="161"/>
      <c r="L21" s="161"/>
      <c r="M21" s="161"/>
      <c r="N21" s="161"/>
      <c r="O21" s="166"/>
      <c r="AF21" s="154">
        <f>+G21-I21</f>
        <v>902589354.72173905</v>
      </c>
      <c r="AH21" s="100"/>
    </row>
    <row r="22" spans="1:35" ht="16.5" customHeight="1">
      <c r="B22" s="53" t="s">
        <v>136</v>
      </c>
      <c r="C22" s="67" t="s">
        <v>137</v>
      </c>
      <c r="D22" s="57">
        <f t="shared" si="6"/>
        <v>902589355</v>
      </c>
      <c r="E22" s="57">
        <f t="shared" si="6"/>
        <v>0</v>
      </c>
      <c r="F22" s="57">
        <f t="shared" si="6"/>
        <v>0</v>
      </c>
      <c r="G22" s="164">
        <f>+E22+D22</f>
        <v>902589355</v>
      </c>
      <c r="H22" s="76">
        <f>+H23</f>
        <v>251155376</v>
      </c>
      <c r="I22" s="160">
        <f t="shared" si="5"/>
        <v>0.27826095511618348</v>
      </c>
      <c r="J22" s="161"/>
      <c r="K22" s="161"/>
      <c r="L22" s="161"/>
      <c r="M22" s="161"/>
      <c r="N22" s="161"/>
      <c r="AH22" s="65"/>
    </row>
    <row r="23" spans="1:35" ht="16.5" customHeight="1">
      <c r="B23" s="51" t="s">
        <v>138</v>
      </c>
      <c r="C23" s="106" t="s">
        <v>139</v>
      </c>
      <c r="D23" s="167">
        <f>SUM(D24:D25)</f>
        <v>902589355</v>
      </c>
      <c r="E23" s="107">
        <f>SUM(E24:E25)</f>
        <v>0</v>
      </c>
      <c r="F23" s="108">
        <v>0</v>
      </c>
      <c r="G23" s="107">
        <f>SUM(G24:G25)</f>
        <v>902589355</v>
      </c>
      <c r="H23" s="167">
        <f>SUM(H24:H25)</f>
        <v>251155376</v>
      </c>
      <c r="I23" s="159">
        <f t="shared" si="5"/>
        <v>0.27826095511618348</v>
      </c>
      <c r="J23" s="161"/>
      <c r="K23" s="161"/>
      <c r="L23" s="161"/>
      <c r="M23" s="161"/>
      <c r="N23" s="161"/>
      <c r="AH23" s="65"/>
    </row>
    <row r="24" spans="1:35" ht="16.5" customHeight="1">
      <c r="B24" s="53" t="s">
        <v>219</v>
      </c>
      <c r="C24" s="67" t="s">
        <v>220</v>
      </c>
      <c r="D24" s="57">
        <v>902589355</v>
      </c>
      <c r="E24" s="57">
        <v>0</v>
      </c>
      <c r="F24" s="126">
        <v>0</v>
      </c>
      <c r="G24" s="127">
        <f>+D24+E24-F24</f>
        <v>902589355</v>
      </c>
      <c r="H24" s="76">
        <v>251155376</v>
      </c>
      <c r="I24" s="160">
        <f t="shared" si="5"/>
        <v>0.27826095511618348</v>
      </c>
      <c r="J24" s="161"/>
      <c r="K24" s="161"/>
      <c r="L24" s="161"/>
      <c r="M24" s="161"/>
      <c r="N24" s="161"/>
      <c r="AH24" s="65"/>
    </row>
    <row r="25" spans="1:35" ht="16.5" hidden="1" customHeight="1">
      <c r="B25" s="53" t="s">
        <v>221</v>
      </c>
      <c r="C25" s="67" t="s">
        <v>222</v>
      </c>
      <c r="D25" s="57"/>
      <c r="E25" s="76"/>
      <c r="F25" s="126">
        <v>0</v>
      </c>
      <c r="G25" s="127">
        <f>+D25+E25-F25</f>
        <v>0</v>
      </c>
      <c r="H25" s="76"/>
      <c r="I25" s="160" t="e">
        <f t="shared" si="5"/>
        <v>#DIV/0!</v>
      </c>
      <c r="J25" s="161"/>
      <c r="K25" s="161"/>
      <c r="L25" s="161"/>
      <c r="M25" s="161"/>
      <c r="N25" s="161"/>
      <c r="AH25" s="65"/>
    </row>
    <row r="26" spans="1:35" ht="16.5" customHeight="1">
      <c r="B26" s="86" t="s">
        <v>140</v>
      </c>
      <c r="C26" s="67" t="s">
        <v>141</v>
      </c>
      <c r="D26" s="76">
        <f>+D27+D28+D31+D34+D37+D39+D41</f>
        <v>23184797038</v>
      </c>
      <c r="E26" s="76">
        <f>+E27+E28+E31+E34+E37+E39+E41</f>
        <v>0</v>
      </c>
      <c r="F26" s="76">
        <f>+F27+F28+F31+F34+F37+F39+F41</f>
        <v>0</v>
      </c>
      <c r="G26" s="76">
        <f>+G27+G28+G31+G34+G37+G39+G41</f>
        <v>23184797038</v>
      </c>
      <c r="H26" s="76">
        <f>+H27+H28+H31+H34+H37+H39+H41</f>
        <v>2793264983.3600001</v>
      </c>
      <c r="I26" s="160">
        <f t="shared" si="5"/>
        <v>0.12047830217283441</v>
      </c>
      <c r="J26" s="161"/>
      <c r="K26" s="161"/>
      <c r="L26" s="161"/>
      <c r="M26" s="161"/>
      <c r="N26" s="161"/>
      <c r="AH26" s="65"/>
    </row>
    <row r="27" spans="1:35" ht="16.5" customHeight="1">
      <c r="B27" s="51" t="s">
        <v>142</v>
      </c>
      <c r="C27" s="55" t="s">
        <v>143</v>
      </c>
      <c r="D27" s="158">
        <v>860592928</v>
      </c>
      <c r="E27" s="163">
        <v>0</v>
      </c>
      <c r="F27" s="163">
        <v>0</v>
      </c>
      <c r="G27" s="158">
        <f t="shared" ref="G27:G40" si="7">+D27+E27-F27</f>
        <v>860592928</v>
      </c>
      <c r="H27" s="247">
        <v>208811429</v>
      </c>
      <c r="I27" s="159">
        <f t="shared" si="5"/>
        <v>0.2426367010536252</v>
      </c>
      <c r="J27" s="161"/>
      <c r="K27" s="161"/>
      <c r="L27" s="161"/>
      <c r="M27" s="161"/>
      <c r="N27" s="161"/>
      <c r="AF27" s="154">
        <f>+G27-I27</f>
        <v>860592927.75736332</v>
      </c>
      <c r="AH27" s="12"/>
      <c r="AI27" s="12"/>
    </row>
    <row r="28" spans="1:35" ht="16.5" customHeight="1">
      <c r="B28" s="51" t="s">
        <v>144</v>
      </c>
      <c r="C28" s="55" t="s">
        <v>145</v>
      </c>
      <c r="D28" s="167">
        <f>SUM(D29:D30)</f>
        <v>52608130</v>
      </c>
      <c r="E28" s="107">
        <f>SUM(E29:E30)</f>
        <v>0</v>
      </c>
      <c r="F28" s="107">
        <f>SUM(F29:F30)</f>
        <v>0</v>
      </c>
      <c r="G28" s="107">
        <f>SUM(G29:G30)</f>
        <v>52608130</v>
      </c>
      <c r="H28" s="167">
        <f>SUM(H29:H30)</f>
        <v>8913981.4800000004</v>
      </c>
      <c r="I28" s="159">
        <f t="shared" si="5"/>
        <v>0.16944113923076148</v>
      </c>
      <c r="J28" s="161"/>
      <c r="K28" s="161"/>
      <c r="L28" s="161"/>
      <c r="M28" s="161"/>
      <c r="N28" s="161"/>
      <c r="AF28" s="154">
        <f>+G28-I28</f>
        <v>52608129.830558859</v>
      </c>
      <c r="AH28" s="66"/>
    </row>
    <row r="29" spans="1:35" ht="16.5" customHeight="1">
      <c r="B29" s="53" t="s">
        <v>185</v>
      </c>
      <c r="C29" s="52" t="s">
        <v>186</v>
      </c>
      <c r="D29" s="76">
        <v>12598400</v>
      </c>
      <c r="E29" s="57">
        <v>0</v>
      </c>
      <c r="F29" s="126">
        <v>0</v>
      </c>
      <c r="G29" s="127">
        <f t="shared" si="7"/>
        <v>12598400</v>
      </c>
      <c r="H29" s="194">
        <v>0</v>
      </c>
      <c r="I29" s="160">
        <f t="shared" si="5"/>
        <v>0</v>
      </c>
      <c r="J29" s="161"/>
      <c r="K29" s="161"/>
      <c r="L29" s="161"/>
      <c r="M29" s="161"/>
      <c r="N29" s="161"/>
      <c r="AH29" s="2"/>
    </row>
    <row r="30" spans="1:35" ht="16.5" customHeight="1">
      <c r="B30" s="53" t="s">
        <v>187</v>
      </c>
      <c r="C30" s="52" t="s">
        <v>188</v>
      </c>
      <c r="D30" s="76">
        <v>40009730</v>
      </c>
      <c r="E30" s="57">
        <v>0</v>
      </c>
      <c r="F30" s="126">
        <v>0</v>
      </c>
      <c r="G30" s="127">
        <f t="shared" si="7"/>
        <v>40009730</v>
      </c>
      <c r="H30" s="194">
        <v>8913981.4800000004</v>
      </c>
      <c r="I30" s="160">
        <f t="shared" si="5"/>
        <v>0.22279534203305046</v>
      </c>
      <c r="J30" s="161"/>
      <c r="K30" s="161"/>
      <c r="L30" s="161"/>
      <c r="M30" s="161"/>
      <c r="N30" s="161"/>
      <c r="AH30" s="2"/>
    </row>
    <row r="31" spans="1:35" ht="16.5" customHeight="1">
      <c r="B31" s="51" t="s">
        <v>146</v>
      </c>
      <c r="C31" s="55" t="s">
        <v>147</v>
      </c>
      <c r="D31" s="167">
        <f>SUM(D32:D33)</f>
        <v>2754021052</v>
      </c>
      <c r="E31" s="107">
        <f>SUM(E32:E33)</f>
        <v>0</v>
      </c>
      <c r="F31" s="107">
        <f>SUM(F32:F33)</f>
        <v>0</v>
      </c>
      <c r="G31" s="107">
        <f>SUM(G32:G33)</f>
        <v>2754021052</v>
      </c>
      <c r="H31" s="167">
        <f>SUM(H32:H33)</f>
        <v>198389707.88999999</v>
      </c>
      <c r="I31" s="159">
        <f t="shared" si="5"/>
        <v>7.2036380312317225E-2</v>
      </c>
      <c r="J31" s="161"/>
      <c r="K31" s="161"/>
      <c r="L31" s="161"/>
      <c r="M31" s="161"/>
      <c r="N31" s="161"/>
      <c r="AF31" s="154">
        <f>+G31-I31</f>
        <v>2754021051.9279637</v>
      </c>
      <c r="AH31" s="66"/>
    </row>
    <row r="32" spans="1:35" ht="16.5" customHeight="1">
      <c r="B32" s="53" t="s">
        <v>189</v>
      </c>
      <c r="C32" s="52" t="s">
        <v>190</v>
      </c>
      <c r="D32" s="76">
        <v>633007536</v>
      </c>
      <c r="E32" s="57">
        <v>0</v>
      </c>
      <c r="F32" s="126">
        <v>0</v>
      </c>
      <c r="G32" s="127">
        <f t="shared" si="7"/>
        <v>633007536</v>
      </c>
      <c r="H32" s="195">
        <v>0</v>
      </c>
      <c r="I32" s="160">
        <f t="shared" si="5"/>
        <v>0</v>
      </c>
      <c r="J32" s="161"/>
      <c r="K32" s="161"/>
      <c r="L32" s="161"/>
      <c r="M32" s="161"/>
      <c r="N32" s="161"/>
      <c r="AH32" s="2"/>
    </row>
    <row r="33" spans="2:35" ht="16.5" customHeight="1">
      <c r="B33" s="53" t="s">
        <v>191</v>
      </c>
      <c r="C33" s="52" t="s">
        <v>192</v>
      </c>
      <c r="D33" s="76">
        <v>2121013516</v>
      </c>
      <c r="E33" s="57">
        <v>0</v>
      </c>
      <c r="F33" s="126">
        <v>0</v>
      </c>
      <c r="G33" s="127">
        <f t="shared" si="7"/>
        <v>2121013516</v>
      </c>
      <c r="H33" s="123">
        <v>198389707.88999999</v>
      </c>
      <c r="I33" s="160">
        <f t="shared" si="5"/>
        <v>9.3535334119011798E-2</v>
      </c>
      <c r="J33" s="161"/>
      <c r="K33" s="161"/>
      <c r="L33" s="161"/>
      <c r="M33" s="161"/>
      <c r="N33" s="161"/>
      <c r="AH33" s="2"/>
    </row>
    <row r="34" spans="2:35" ht="16.5" customHeight="1">
      <c r="B34" s="51" t="s">
        <v>148</v>
      </c>
      <c r="C34" s="109" t="s">
        <v>149</v>
      </c>
      <c r="D34" s="167">
        <f>SUM(D35:D36)</f>
        <v>5581743633</v>
      </c>
      <c r="E34" s="107">
        <f>SUM(E35:E36)</f>
        <v>0</v>
      </c>
      <c r="F34" s="107">
        <f>SUM(F35:F36)</f>
        <v>0</v>
      </c>
      <c r="G34" s="107">
        <f>SUM(G35:G36)</f>
        <v>5581743633</v>
      </c>
      <c r="H34" s="167">
        <f>SUM(H35:H36)</f>
        <v>32176864.990000002</v>
      </c>
      <c r="I34" s="159">
        <f>+H34/G34</f>
        <v>5.7646619238773634E-3</v>
      </c>
      <c r="J34" s="161"/>
      <c r="K34" s="161"/>
      <c r="L34" s="161"/>
      <c r="M34" s="161"/>
      <c r="N34" s="161"/>
      <c r="AF34" s="154">
        <f>+G34-I34</f>
        <v>5581743632.994235</v>
      </c>
      <c r="AG34" s="3" t="e">
        <f>+AF34+#REF!</f>
        <v>#REF!</v>
      </c>
      <c r="AH34" s="2"/>
    </row>
    <row r="35" spans="2:35" ht="16.5" customHeight="1">
      <c r="B35" s="53" t="s">
        <v>193</v>
      </c>
      <c r="C35" s="56" t="s">
        <v>194</v>
      </c>
      <c r="D35" s="76">
        <v>2891493633</v>
      </c>
      <c r="E35" s="57">
        <v>0</v>
      </c>
      <c r="F35" s="126">
        <v>0</v>
      </c>
      <c r="G35" s="127">
        <f t="shared" si="7"/>
        <v>2891493633</v>
      </c>
      <c r="I35" s="160">
        <f>+H35/G35</f>
        <v>0</v>
      </c>
      <c r="J35" s="161"/>
      <c r="K35" s="161"/>
      <c r="L35" s="161"/>
      <c r="M35" s="161"/>
      <c r="N35" s="161"/>
      <c r="AG35" s="3"/>
      <c r="AH35" s="2"/>
    </row>
    <row r="36" spans="2:35" ht="16.5" customHeight="1">
      <c r="B36" s="53" t="s">
        <v>195</v>
      </c>
      <c r="C36" s="56" t="s">
        <v>196</v>
      </c>
      <c r="D36" s="76">
        <v>2690250000</v>
      </c>
      <c r="E36" s="57">
        <v>0</v>
      </c>
      <c r="F36" s="126">
        <v>0</v>
      </c>
      <c r="G36" s="127">
        <f t="shared" si="7"/>
        <v>2690250000</v>
      </c>
      <c r="H36" s="123">
        <v>32176864.990000002</v>
      </c>
      <c r="I36" s="160">
        <f>+H36/G36</f>
        <v>1.1960548272465385E-2</v>
      </c>
      <c r="J36" s="161"/>
      <c r="K36" s="161"/>
      <c r="L36" s="161"/>
      <c r="M36" s="161"/>
      <c r="N36" s="161"/>
      <c r="AG36" s="3"/>
      <c r="AH36" s="2"/>
    </row>
    <row r="37" spans="2:35" ht="16.5" customHeight="1">
      <c r="B37" s="51" t="s">
        <v>150</v>
      </c>
      <c r="C37" s="55" t="s">
        <v>151</v>
      </c>
      <c r="D37" s="107">
        <f>SUM(D38:D38)</f>
        <v>20550969</v>
      </c>
      <c r="E37" s="107">
        <f t="shared" ref="E37:F37" si="8">SUM(E38:E38)</f>
        <v>0</v>
      </c>
      <c r="F37" s="107">
        <f t="shared" si="8"/>
        <v>0</v>
      </c>
      <c r="G37" s="107">
        <f>SUM(G38:G38)</f>
        <v>20550969</v>
      </c>
      <c r="H37" s="167">
        <f>SUM(H38:H38)</f>
        <v>0</v>
      </c>
      <c r="I37" s="159">
        <f t="shared" si="5"/>
        <v>0</v>
      </c>
      <c r="J37" s="161"/>
      <c r="K37" s="161"/>
      <c r="L37" s="161"/>
      <c r="M37" s="161"/>
      <c r="N37" s="161"/>
      <c r="AF37" s="154">
        <f>+G37-I37</f>
        <v>20550969</v>
      </c>
      <c r="AH37" s="66"/>
      <c r="AI37" s="154"/>
    </row>
    <row r="38" spans="2:35" ht="16.5" customHeight="1">
      <c r="B38" s="53" t="s">
        <v>197</v>
      </c>
      <c r="C38" s="52" t="s">
        <v>198</v>
      </c>
      <c r="D38" s="76">
        <v>20550969</v>
      </c>
      <c r="E38" s="57">
        <v>0</v>
      </c>
      <c r="F38" s="57">
        <v>0</v>
      </c>
      <c r="G38" s="127">
        <f t="shared" si="7"/>
        <v>20550969</v>
      </c>
      <c r="H38" s="194">
        <v>0</v>
      </c>
      <c r="I38" s="160">
        <f t="shared" si="5"/>
        <v>0</v>
      </c>
      <c r="J38" s="161"/>
      <c r="K38" s="161"/>
      <c r="L38" s="161"/>
      <c r="M38" s="161"/>
      <c r="N38" s="161"/>
      <c r="AH38" s="2"/>
      <c r="AI38" s="154"/>
    </row>
    <row r="39" spans="2:35" ht="16.5" customHeight="1">
      <c r="B39" s="51" t="s">
        <v>152</v>
      </c>
      <c r="C39" s="55" t="s">
        <v>153</v>
      </c>
      <c r="D39" s="167">
        <f>SUM(D40:D40)</f>
        <v>13912280326</v>
      </c>
      <c r="E39" s="107">
        <f>SUM(E40:E40)</f>
        <v>0</v>
      </c>
      <c r="F39" s="107">
        <f>SUM(F40:F40)</f>
        <v>0</v>
      </c>
      <c r="G39" s="107">
        <f>SUM(G40:G40)</f>
        <v>13912280326</v>
      </c>
      <c r="H39" s="167">
        <f>SUM(H40:H40)</f>
        <v>2344908000</v>
      </c>
      <c r="I39" s="159">
        <f t="shared" si="5"/>
        <v>0.16854950770490965</v>
      </c>
      <c r="J39" s="161"/>
      <c r="K39" s="161"/>
      <c r="L39" s="161"/>
      <c r="M39" s="161"/>
      <c r="N39" s="161"/>
      <c r="AF39" s="154">
        <f>+G39-I39</f>
        <v>13912280325.831451</v>
      </c>
      <c r="AH39" s="2"/>
      <c r="AI39" s="154"/>
    </row>
    <row r="40" spans="2:35" ht="16.5" customHeight="1">
      <c r="B40" s="53" t="s">
        <v>199</v>
      </c>
      <c r="C40" s="52" t="s">
        <v>200</v>
      </c>
      <c r="D40" s="76">
        <v>13912280326</v>
      </c>
      <c r="E40" s="57">
        <v>0</v>
      </c>
      <c r="F40" s="57">
        <v>0</v>
      </c>
      <c r="G40" s="127">
        <f t="shared" si="7"/>
        <v>13912280326</v>
      </c>
      <c r="H40" s="243">
        <v>2344908000</v>
      </c>
      <c r="I40" s="160">
        <f t="shared" si="5"/>
        <v>0.16854950770490965</v>
      </c>
      <c r="J40" s="161"/>
      <c r="K40" s="161"/>
      <c r="L40" s="161"/>
      <c r="M40" s="161"/>
      <c r="N40" s="161"/>
      <c r="AH40" s="2"/>
      <c r="AI40" s="154"/>
    </row>
    <row r="41" spans="2:35" ht="16.5" customHeight="1">
      <c r="B41" s="51" t="s">
        <v>241</v>
      </c>
      <c r="C41" s="55" t="s">
        <v>242</v>
      </c>
      <c r="D41" s="167">
        <v>3000000</v>
      </c>
      <c r="E41" s="107">
        <v>0</v>
      </c>
      <c r="F41" s="108">
        <v>0</v>
      </c>
      <c r="G41" s="158">
        <f>+D41+E41-F41</f>
        <v>3000000</v>
      </c>
      <c r="H41" s="244">
        <v>65000</v>
      </c>
      <c r="I41" s="159">
        <f t="shared" si="5"/>
        <v>2.1666666666666667E-2</v>
      </c>
      <c r="J41" s="161"/>
      <c r="K41" s="161"/>
      <c r="L41" s="161"/>
      <c r="M41" s="161"/>
      <c r="N41" s="161"/>
      <c r="AF41" s="154">
        <f t="shared" ref="AF41:AF51" si="9">+G41-I41</f>
        <v>2999999.9783333335</v>
      </c>
      <c r="AH41" s="99"/>
      <c r="AI41" s="154"/>
    </row>
    <row r="42" spans="2:35" ht="16.5" customHeight="1">
      <c r="B42" s="53" t="s">
        <v>277</v>
      </c>
      <c r="C42" s="52" t="s">
        <v>287</v>
      </c>
      <c r="D42" s="76">
        <f>+D43</f>
        <v>85898142</v>
      </c>
      <c r="E42" s="76">
        <f t="shared" ref="E42:H42" si="10">+E43</f>
        <v>0</v>
      </c>
      <c r="F42" s="76">
        <f t="shared" si="10"/>
        <v>0</v>
      </c>
      <c r="G42" s="76">
        <f t="shared" si="10"/>
        <v>85898142</v>
      </c>
      <c r="H42" s="76">
        <f t="shared" si="10"/>
        <v>25021906</v>
      </c>
      <c r="I42" s="160">
        <f t="shared" si="5"/>
        <v>0.29129740664239279</v>
      </c>
      <c r="J42" s="161"/>
      <c r="K42" s="161"/>
      <c r="L42" s="161"/>
      <c r="M42" s="161"/>
      <c r="N42" s="161"/>
      <c r="AH42" s="99"/>
      <c r="AI42" s="154"/>
    </row>
    <row r="43" spans="2:35" ht="16.5" customHeight="1">
      <c r="B43" s="51" t="s">
        <v>278</v>
      </c>
      <c r="C43" s="55" t="s">
        <v>288</v>
      </c>
      <c r="D43" s="167">
        <f>SUM(D44:D47)</f>
        <v>85898142</v>
      </c>
      <c r="E43" s="167">
        <f t="shared" ref="E43:H43" si="11">SUM(E44:E47)</f>
        <v>0</v>
      </c>
      <c r="F43" s="167">
        <f t="shared" si="11"/>
        <v>0</v>
      </c>
      <c r="G43" s="167">
        <f t="shared" si="11"/>
        <v>85898142</v>
      </c>
      <c r="H43" s="167">
        <f t="shared" si="11"/>
        <v>25021906</v>
      </c>
      <c r="I43" s="159">
        <f t="shared" si="5"/>
        <v>0.29129740664239279</v>
      </c>
      <c r="J43" s="161"/>
      <c r="K43" s="161"/>
      <c r="L43" s="161"/>
      <c r="M43" s="161"/>
      <c r="N43" s="161"/>
      <c r="AH43" s="99"/>
      <c r="AI43" s="154"/>
    </row>
    <row r="44" spans="2:35" ht="16.5" customHeight="1">
      <c r="B44" s="53" t="s">
        <v>280</v>
      </c>
      <c r="C44" s="52" t="s">
        <v>283</v>
      </c>
      <c r="D44" s="76">
        <v>47346000</v>
      </c>
      <c r="E44" s="107">
        <v>0</v>
      </c>
      <c r="F44" s="108">
        <v>0</v>
      </c>
      <c r="G44" s="127">
        <f t="shared" ref="G44:G47" si="12">+D44+E44-F44</f>
        <v>47346000</v>
      </c>
      <c r="H44" s="123">
        <v>3655545</v>
      </c>
      <c r="I44" s="160">
        <f t="shared" si="5"/>
        <v>7.7209162336839443E-2</v>
      </c>
      <c r="J44" s="161"/>
      <c r="K44" s="161"/>
      <c r="L44" s="161"/>
      <c r="M44" s="161"/>
      <c r="N44" s="161"/>
      <c r="AH44" s="99"/>
      <c r="AI44" s="154"/>
    </row>
    <row r="45" spans="2:35" ht="16.5" customHeight="1">
      <c r="B45" s="53" t="s">
        <v>279</v>
      </c>
      <c r="C45" s="52" t="s">
        <v>284</v>
      </c>
      <c r="D45" s="76">
        <v>27995885</v>
      </c>
      <c r="E45" s="107">
        <v>0</v>
      </c>
      <c r="F45" s="108">
        <v>0</v>
      </c>
      <c r="G45" s="127">
        <f t="shared" si="12"/>
        <v>27995885</v>
      </c>
      <c r="H45" s="123">
        <v>16240087</v>
      </c>
      <c r="I45" s="160">
        <f t="shared" si="5"/>
        <v>0.58008835941424963</v>
      </c>
      <c r="J45" s="161"/>
      <c r="K45" s="161"/>
      <c r="L45" s="161"/>
      <c r="M45" s="161"/>
      <c r="N45" s="161"/>
      <c r="AH45" s="99"/>
      <c r="AI45" s="154"/>
    </row>
    <row r="46" spans="2:35" ht="16.5" customHeight="1">
      <c r="B46" s="53" t="s">
        <v>281</v>
      </c>
      <c r="C46" s="52" t="s">
        <v>285</v>
      </c>
      <c r="D46" s="76">
        <v>9750000</v>
      </c>
      <c r="E46" s="107">
        <v>0</v>
      </c>
      <c r="F46" s="108">
        <v>0</v>
      </c>
      <c r="G46" s="127">
        <f t="shared" si="12"/>
        <v>9750000</v>
      </c>
      <c r="H46" s="123">
        <v>1958838</v>
      </c>
      <c r="I46" s="160">
        <f t="shared" si="5"/>
        <v>0.20090646153846153</v>
      </c>
      <c r="J46" s="161"/>
      <c r="K46" s="161"/>
      <c r="L46" s="161"/>
      <c r="M46" s="161"/>
      <c r="N46" s="161"/>
      <c r="AH46" s="99"/>
      <c r="AI46" s="154"/>
    </row>
    <row r="47" spans="2:35" ht="16.5" customHeight="1">
      <c r="B47" s="53" t="s">
        <v>282</v>
      </c>
      <c r="C47" s="52" t="s">
        <v>286</v>
      </c>
      <c r="D47" s="76">
        <v>806257</v>
      </c>
      <c r="E47" s="107">
        <v>0</v>
      </c>
      <c r="F47" s="108">
        <v>0</v>
      </c>
      <c r="G47" s="127">
        <f t="shared" si="12"/>
        <v>806257</v>
      </c>
      <c r="H47" s="123">
        <v>3167436</v>
      </c>
      <c r="I47" s="160">
        <f t="shared" si="5"/>
        <v>3.928568682194387</v>
      </c>
      <c r="J47" s="161"/>
      <c r="K47" s="161"/>
      <c r="L47" s="161"/>
      <c r="M47" s="161"/>
      <c r="N47" s="161"/>
      <c r="AH47" s="99"/>
      <c r="AI47" s="154"/>
    </row>
    <row r="48" spans="2:35" ht="16.5" customHeight="1">
      <c r="B48" s="53" t="s">
        <v>154</v>
      </c>
      <c r="C48" s="52" t="s">
        <v>155</v>
      </c>
      <c r="D48" s="162">
        <f>+D49</f>
        <v>711763391</v>
      </c>
      <c r="E48" s="162">
        <f>+E49</f>
        <v>0</v>
      </c>
      <c r="F48" s="162">
        <f>+F49</f>
        <v>0</v>
      </c>
      <c r="G48" s="162">
        <f>+G49</f>
        <v>711763391</v>
      </c>
      <c r="H48" s="127">
        <f>+H49</f>
        <v>135327437</v>
      </c>
      <c r="I48" s="160">
        <f t="shared" si="5"/>
        <v>0.19012980817947125</v>
      </c>
      <c r="J48" s="161"/>
      <c r="K48" s="161"/>
      <c r="L48" s="161"/>
      <c r="M48" s="161"/>
      <c r="N48" s="161"/>
      <c r="AF48" s="154">
        <f t="shared" si="9"/>
        <v>711763390.80987024</v>
      </c>
      <c r="AH48" s="65"/>
      <c r="AI48" s="154"/>
    </row>
    <row r="49" spans="2:35" s="2" customFormat="1" ht="16.5" customHeight="1">
      <c r="B49" s="53" t="s">
        <v>156</v>
      </c>
      <c r="C49" s="52" t="s">
        <v>157</v>
      </c>
      <c r="D49" s="57">
        <f>+D50+D54</f>
        <v>711763391</v>
      </c>
      <c r="E49" s="57">
        <f>+E50+E54</f>
        <v>0</v>
      </c>
      <c r="F49" s="57">
        <f>+F50+F54</f>
        <v>0</v>
      </c>
      <c r="G49" s="57">
        <f>+G50+G54</f>
        <v>711763391</v>
      </c>
      <c r="H49" s="76">
        <f>+H50+H54</f>
        <v>135327437</v>
      </c>
      <c r="I49" s="160">
        <f t="shared" si="5"/>
        <v>0.19012980817947125</v>
      </c>
      <c r="J49" s="161"/>
      <c r="K49" s="161"/>
      <c r="L49" s="161"/>
      <c r="M49" s="161"/>
      <c r="N49" s="161"/>
      <c r="O49" s="166"/>
      <c r="AF49" s="154">
        <f t="shared" si="9"/>
        <v>711763390.80987024</v>
      </c>
      <c r="AH49" s="66"/>
      <c r="AI49" s="154"/>
    </row>
    <row r="50" spans="2:35" s="2" customFormat="1" ht="16.5" customHeight="1">
      <c r="B50" s="53" t="s">
        <v>158</v>
      </c>
      <c r="C50" s="52" t="s">
        <v>159</v>
      </c>
      <c r="D50" s="57">
        <f>+D51</f>
        <v>711763391</v>
      </c>
      <c r="E50" s="57">
        <f>+E51</f>
        <v>0</v>
      </c>
      <c r="F50" s="57">
        <f>+F51</f>
        <v>0</v>
      </c>
      <c r="G50" s="57">
        <f>+G51</f>
        <v>711763391</v>
      </c>
      <c r="H50" s="76">
        <f>+H51</f>
        <v>135327437</v>
      </c>
      <c r="I50" s="160">
        <f t="shared" si="5"/>
        <v>0.19012980817947125</v>
      </c>
      <c r="J50" s="161"/>
      <c r="K50" s="161"/>
      <c r="L50" s="161"/>
      <c r="M50" s="161"/>
      <c r="N50" s="161"/>
      <c r="O50" s="166"/>
      <c r="AF50" s="154">
        <f t="shared" si="9"/>
        <v>711763390.80987024</v>
      </c>
      <c r="AH50" s="66"/>
      <c r="AI50" s="154"/>
    </row>
    <row r="51" spans="2:35" ht="16.5" customHeight="1">
      <c r="B51" s="51" t="s">
        <v>160</v>
      </c>
      <c r="C51" s="55" t="s">
        <v>161</v>
      </c>
      <c r="D51" s="107">
        <f>SUM(D52:D53)</f>
        <v>711763391</v>
      </c>
      <c r="E51" s="107">
        <f>SUM(E52:E53)</f>
        <v>0</v>
      </c>
      <c r="F51" s="107">
        <f>SUM(F52:F53)</f>
        <v>0</v>
      </c>
      <c r="G51" s="107">
        <f>SUM(G52:G53)</f>
        <v>711763391</v>
      </c>
      <c r="H51" s="167">
        <f>SUM(H52:H53)</f>
        <v>135327437</v>
      </c>
      <c r="I51" s="159">
        <f t="shared" si="5"/>
        <v>0.19012980817947125</v>
      </c>
      <c r="J51" s="161"/>
      <c r="K51" s="161"/>
      <c r="L51" s="161"/>
      <c r="M51" s="161"/>
      <c r="N51" s="161"/>
      <c r="AF51" s="154">
        <f t="shared" si="9"/>
        <v>711763390.80987024</v>
      </c>
      <c r="AH51" s="65"/>
      <c r="AI51" s="154"/>
    </row>
    <row r="52" spans="2:35" ht="16.5" customHeight="1">
      <c r="B52" s="53" t="s">
        <v>201</v>
      </c>
      <c r="C52" s="52" t="s">
        <v>202</v>
      </c>
      <c r="D52" s="76">
        <v>621763391</v>
      </c>
      <c r="E52" s="107">
        <v>0</v>
      </c>
      <c r="F52" s="107">
        <v>0</v>
      </c>
      <c r="G52" s="127">
        <f>+D52+E52-F52</f>
        <v>621763391</v>
      </c>
      <c r="H52" s="76">
        <v>2114220</v>
      </c>
      <c r="I52" s="160">
        <f t="shared" si="5"/>
        <v>3.4003610225420942E-3</v>
      </c>
      <c r="J52" s="161"/>
      <c r="K52" s="161"/>
      <c r="L52" s="161"/>
      <c r="M52" s="161"/>
      <c r="N52" s="161"/>
      <c r="AH52" s="65"/>
      <c r="AI52" s="154"/>
    </row>
    <row r="53" spans="2:35" ht="16.5" customHeight="1">
      <c r="B53" s="53" t="s">
        <v>203</v>
      </c>
      <c r="C53" s="52" t="s">
        <v>204</v>
      </c>
      <c r="D53" s="76">
        <v>90000000</v>
      </c>
      <c r="E53" s="107">
        <v>0</v>
      </c>
      <c r="F53" s="107">
        <v>0</v>
      </c>
      <c r="G53" s="127">
        <f>+D53+E53-F53</f>
        <v>90000000</v>
      </c>
      <c r="H53" s="76">
        <v>133213217</v>
      </c>
      <c r="I53" s="160">
        <f t="shared" si="5"/>
        <v>1.4801468555555555</v>
      </c>
      <c r="J53" s="161"/>
      <c r="K53" s="161"/>
      <c r="L53" s="161"/>
      <c r="M53" s="161"/>
      <c r="N53" s="161"/>
      <c r="AH53" s="65"/>
      <c r="AI53" s="154"/>
    </row>
    <row r="54" spans="2:35" ht="16.5" customHeight="1">
      <c r="B54" s="53" t="s">
        <v>162</v>
      </c>
      <c r="C54" s="52" t="s">
        <v>163</v>
      </c>
      <c r="D54" s="57">
        <f>+D55</f>
        <v>0</v>
      </c>
      <c r="E54" s="57">
        <f>+E55</f>
        <v>0</v>
      </c>
      <c r="F54" s="57">
        <f>+F55</f>
        <v>0</v>
      </c>
      <c r="G54" s="57">
        <f>+G55</f>
        <v>0</v>
      </c>
      <c r="H54" s="76">
        <f>+H55</f>
        <v>0</v>
      </c>
      <c r="I54" s="160" t="e">
        <f t="shared" si="5"/>
        <v>#DIV/0!</v>
      </c>
      <c r="J54" s="161"/>
      <c r="K54" s="161"/>
      <c r="L54" s="161"/>
      <c r="M54" s="161"/>
      <c r="N54" s="161"/>
      <c r="AF54" s="154" t="e">
        <f>+G54-I54</f>
        <v>#DIV/0!</v>
      </c>
      <c r="AH54" s="65"/>
      <c r="AI54" s="154"/>
    </row>
    <row r="55" spans="2:35" ht="16.5" customHeight="1">
      <c r="B55" s="51" t="s">
        <v>164</v>
      </c>
      <c r="C55" s="55" t="s">
        <v>174</v>
      </c>
      <c r="D55" s="167"/>
      <c r="E55" s="167">
        <v>0</v>
      </c>
      <c r="F55" s="202">
        <v>0</v>
      </c>
      <c r="G55" s="158">
        <f t="shared" ref="G55" si="13">+D55+E55-F55</f>
        <v>0</v>
      </c>
      <c r="H55" s="167">
        <v>0</v>
      </c>
      <c r="I55" s="160" t="e">
        <f t="shared" si="5"/>
        <v>#DIV/0!</v>
      </c>
      <c r="J55" s="161"/>
      <c r="K55" s="161"/>
      <c r="L55" s="161"/>
      <c r="M55" s="161"/>
      <c r="N55" s="161"/>
      <c r="AF55" s="154" t="e">
        <f>+G55-I55</f>
        <v>#DIV/0!</v>
      </c>
      <c r="AH55" s="65"/>
      <c r="AI55" s="154"/>
    </row>
    <row r="56" spans="2:35" s="2" customFormat="1" ht="16.5" customHeight="1">
      <c r="B56" s="53" t="s">
        <v>173</v>
      </c>
      <c r="C56" s="52" t="s">
        <v>165</v>
      </c>
      <c r="D56" s="57">
        <f>+D57+D65+D70</f>
        <v>45217073644</v>
      </c>
      <c r="E56" s="57">
        <f t="shared" ref="E56:H56" si="14">+E57+E65+E70</f>
        <v>0</v>
      </c>
      <c r="F56" s="57">
        <f t="shared" si="14"/>
        <v>0</v>
      </c>
      <c r="G56" s="57">
        <f t="shared" si="14"/>
        <v>45217073644</v>
      </c>
      <c r="H56" s="76">
        <f t="shared" si="14"/>
        <v>19161364.550000001</v>
      </c>
      <c r="I56" s="160">
        <f t="shared" si="5"/>
        <v>4.2376392379701432E-4</v>
      </c>
      <c r="J56" s="161"/>
      <c r="K56" s="161"/>
      <c r="L56" s="161"/>
      <c r="M56" s="161"/>
      <c r="N56" s="161"/>
      <c r="O56" s="166"/>
      <c r="AF56" s="154">
        <f>+G56-I56</f>
        <v>45217073643.999573</v>
      </c>
      <c r="AH56" s="66"/>
      <c r="AI56" s="154"/>
    </row>
    <row r="57" spans="2:35" s="2" customFormat="1" ht="16.5" customHeight="1">
      <c r="B57" s="53" t="s">
        <v>243</v>
      </c>
      <c r="C57" s="52" t="s">
        <v>251</v>
      </c>
      <c r="D57" s="107">
        <f>+D58</f>
        <v>94420766</v>
      </c>
      <c r="E57" s="107">
        <f t="shared" ref="E57:H57" si="15">+E58</f>
        <v>0</v>
      </c>
      <c r="F57" s="107">
        <f t="shared" si="15"/>
        <v>0</v>
      </c>
      <c r="G57" s="107">
        <f t="shared" si="15"/>
        <v>94420766</v>
      </c>
      <c r="H57" s="167">
        <f t="shared" si="15"/>
        <v>19161364.550000001</v>
      </c>
      <c r="I57" s="159">
        <f t="shared" si="5"/>
        <v>0.20293591507190273</v>
      </c>
      <c r="J57" s="161"/>
      <c r="K57" s="161"/>
      <c r="L57" s="161"/>
      <c r="M57" s="161"/>
      <c r="N57" s="161"/>
      <c r="O57" s="166"/>
      <c r="AF57" s="154"/>
      <c r="AH57" s="66"/>
      <c r="AI57" s="154"/>
    </row>
    <row r="58" spans="2:35" s="2" customFormat="1" ht="16.5" customHeight="1">
      <c r="B58" s="51" t="s">
        <v>244</v>
      </c>
      <c r="C58" s="55" t="s">
        <v>252</v>
      </c>
      <c r="D58" s="107">
        <f>SUM(D59:D64)</f>
        <v>94420766</v>
      </c>
      <c r="E58" s="107">
        <f t="shared" ref="E58:H58" si="16">SUM(E59:E64)</f>
        <v>0</v>
      </c>
      <c r="F58" s="107">
        <f t="shared" si="16"/>
        <v>0</v>
      </c>
      <c r="G58" s="107">
        <f t="shared" si="16"/>
        <v>94420766</v>
      </c>
      <c r="H58" s="167">
        <f t="shared" si="16"/>
        <v>19161364.550000001</v>
      </c>
      <c r="I58" s="159">
        <f t="shared" si="5"/>
        <v>0.20293591507190273</v>
      </c>
      <c r="J58" s="161"/>
      <c r="K58" s="161"/>
      <c r="L58" s="161"/>
      <c r="M58" s="161"/>
      <c r="N58" s="161"/>
      <c r="O58" s="166"/>
      <c r="AF58" s="154"/>
      <c r="AH58" s="66"/>
      <c r="AI58" s="154"/>
    </row>
    <row r="59" spans="2:35" s="2" customFormat="1" ht="16.5" customHeight="1">
      <c r="B59" s="53" t="s">
        <v>245</v>
      </c>
      <c r="C59" s="52" t="s">
        <v>253</v>
      </c>
      <c r="D59" s="76">
        <v>31657524</v>
      </c>
      <c r="E59" s="107">
        <v>0</v>
      </c>
      <c r="F59" s="107">
        <v>0</v>
      </c>
      <c r="G59" s="127">
        <f t="shared" ref="G59:G64" si="17">+D59+E59-F59</f>
        <v>31657524</v>
      </c>
      <c r="H59" s="76">
        <v>954012.89999999991</v>
      </c>
      <c r="I59" s="160">
        <f t="shared" si="5"/>
        <v>3.0135423730548224E-2</v>
      </c>
      <c r="J59" s="161"/>
      <c r="K59" s="161"/>
      <c r="L59" s="161"/>
      <c r="M59" s="161"/>
      <c r="N59" s="161"/>
      <c r="O59" s="166"/>
      <c r="AF59" s="154"/>
      <c r="AH59" s="66"/>
      <c r="AI59" s="154"/>
    </row>
    <row r="60" spans="2:35" s="2" customFormat="1" ht="16.5" customHeight="1">
      <c r="B60" s="53" t="s">
        <v>246</v>
      </c>
      <c r="C60" s="52" t="s">
        <v>254</v>
      </c>
      <c r="D60" s="76">
        <v>844468</v>
      </c>
      <c r="E60" s="107">
        <v>0</v>
      </c>
      <c r="F60" s="107">
        <v>0</v>
      </c>
      <c r="G60" s="127">
        <f t="shared" si="17"/>
        <v>844468</v>
      </c>
      <c r="H60" s="76">
        <v>348270.98</v>
      </c>
      <c r="I60" s="160">
        <f t="shared" si="5"/>
        <v>0.41241465632800767</v>
      </c>
      <c r="J60" s="161"/>
      <c r="K60" s="161"/>
      <c r="L60" s="161"/>
      <c r="M60" s="161"/>
      <c r="N60" s="161"/>
      <c r="O60" s="166"/>
      <c r="AF60" s="154"/>
      <c r="AH60" s="66"/>
      <c r="AI60" s="154"/>
    </row>
    <row r="61" spans="2:35" s="2" customFormat="1" ht="16.5" customHeight="1">
      <c r="B61" s="53" t="s">
        <v>247</v>
      </c>
      <c r="C61" s="52" t="s">
        <v>255</v>
      </c>
      <c r="D61" s="76">
        <v>7169687</v>
      </c>
      <c r="E61" s="107">
        <v>0</v>
      </c>
      <c r="F61" s="107">
        <v>0</v>
      </c>
      <c r="G61" s="127">
        <f t="shared" si="17"/>
        <v>7169687</v>
      </c>
      <c r="H61" s="76">
        <v>117003.20999999999</v>
      </c>
      <c r="I61" s="160">
        <f t="shared" si="5"/>
        <v>1.6319151728659841E-2</v>
      </c>
      <c r="J61" s="161"/>
      <c r="K61" s="161"/>
      <c r="L61" s="161"/>
      <c r="M61" s="161"/>
      <c r="N61" s="161"/>
      <c r="O61" s="166"/>
      <c r="AF61" s="154"/>
      <c r="AH61" s="66"/>
      <c r="AI61" s="154"/>
    </row>
    <row r="62" spans="2:35" s="2" customFormat="1" ht="16.5" customHeight="1">
      <c r="B62" s="53" t="s">
        <v>248</v>
      </c>
      <c r="C62" s="52" t="s">
        <v>256</v>
      </c>
      <c r="D62" s="76">
        <v>54219081</v>
      </c>
      <c r="E62" s="107">
        <v>0</v>
      </c>
      <c r="F62" s="107">
        <v>0</v>
      </c>
      <c r="G62" s="127">
        <f t="shared" si="17"/>
        <v>54219081</v>
      </c>
      <c r="H62" s="76">
        <v>17710685.41</v>
      </c>
      <c r="I62" s="160">
        <f t="shared" si="5"/>
        <v>0.32665041685232549</v>
      </c>
      <c r="J62" s="161"/>
      <c r="K62" s="161"/>
      <c r="L62" s="161"/>
      <c r="M62" s="161"/>
      <c r="N62" s="161"/>
      <c r="O62" s="166"/>
      <c r="AF62" s="154"/>
      <c r="AH62" s="66"/>
      <c r="AI62" s="154"/>
    </row>
    <row r="63" spans="2:35" s="2" customFormat="1" ht="16.5" customHeight="1">
      <c r="B63" s="53" t="s">
        <v>249</v>
      </c>
      <c r="C63" s="52" t="s">
        <v>289</v>
      </c>
      <c r="D63" s="76">
        <v>500000</v>
      </c>
      <c r="E63" s="107">
        <v>0</v>
      </c>
      <c r="F63" s="107">
        <v>0</v>
      </c>
      <c r="G63" s="127">
        <f t="shared" si="17"/>
        <v>500000</v>
      </c>
      <c r="H63" s="76">
        <v>29244.3</v>
      </c>
      <c r="I63" s="160">
        <f t="shared" si="5"/>
        <v>5.8488600000000002E-2</v>
      </c>
      <c r="J63" s="161"/>
      <c r="K63" s="161"/>
      <c r="L63" s="161"/>
      <c r="M63" s="161"/>
      <c r="N63" s="161"/>
      <c r="O63" s="166"/>
      <c r="AF63" s="154"/>
      <c r="AH63" s="66"/>
      <c r="AI63" s="154"/>
    </row>
    <row r="64" spans="2:35" s="2" customFormat="1" ht="16.5" customHeight="1">
      <c r="B64" s="53" t="s">
        <v>250</v>
      </c>
      <c r="C64" s="52" t="s">
        <v>257</v>
      </c>
      <c r="D64" s="76">
        <v>30006</v>
      </c>
      <c r="E64" s="107">
        <v>0</v>
      </c>
      <c r="F64" s="107">
        <v>0</v>
      </c>
      <c r="G64" s="127">
        <f t="shared" si="17"/>
        <v>30006</v>
      </c>
      <c r="H64" s="245">
        <v>2147.75</v>
      </c>
      <c r="I64" s="160">
        <f t="shared" si="5"/>
        <v>7.1577351196427386E-2</v>
      </c>
      <c r="J64" s="161"/>
      <c r="K64" s="161"/>
      <c r="L64" s="161"/>
      <c r="M64" s="161"/>
      <c r="N64" s="161"/>
      <c r="O64" s="166"/>
      <c r="AF64" s="154"/>
      <c r="AH64" s="66"/>
      <c r="AI64" s="154"/>
    </row>
    <row r="65" spans="1:36" s="2" customFormat="1" ht="16.5" customHeight="1">
      <c r="B65" s="53" t="s">
        <v>258</v>
      </c>
      <c r="C65" s="52" t="s">
        <v>260</v>
      </c>
      <c r="D65" s="57">
        <f>+D66</f>
        <v>44606000000</v>
      </c>
      <c r="E65" s="57">
        <f t="shared" ref="E65:H66" si="18">+E66</f>
        <v>0</v>
      </c>
      <c r="F65" s="57">
        <f t="shared" si="18"/>
        <v>0</v>
      </c>
      <c r="G65" s="57">
        <f t="shared" si="18"/>
        <v>44606000000</v>
      </c>
      <c r="H65" s="76">
        <f t="shared" si="18"/>
        <v>0</v>
      </c>
      <c r="I65" s="160">
        <f t="shared" si="5"/>
        <v>0</v>
      </c>
      <c r="J65" s="161"/>
      <c r="K65" s="161"/>
      <c r="L65" s="161"/>
      <c r="M65" s="161"/>
      <c r="N65" s="161"/>
      <c r="O65" s="166"/>
      <c r="AF65" s="154"/>
      <c r="AH65" s="66"/>
      <c r="AI65" s="154"/>
    </row>
    <row r="66" spans="1:36" s="2" customFormat="1" ht="16.5" customHeight="1">
      <c r="B66" s="53" t="s">
        <v>259</v>
      </c>
      <c r="C66" s="52" t="s">
        <v>261</v>
      </c>
      <c r="D66" s="57">
        <f>+D67</f>
        <v>44606000000</v>
      </c>
      <c r="E66" s="57">
        <f t="shared" si="18"/>
        <v>0</v>
      </c>
      <c r="F66" s="57">
        <f t="shared" si="18"/>
        <v>0</v>
      </c>
      <c r="G66" s="57">
        <f t="shared" si="18"/>
        <v>44606000000</v>
      </c>
      <c r="H66" s="76">
        <f t="shared" si="18"/>
        <v>0</v>
      </c>
      <c r="I66" s="160">
        <f t="shared" si="5"/>
        <v>0</v>
      </c>
      <c r="J66" s="161"/>
      <c r="K66" s="161"/>
      <c r="L66" s="161"/>
      <c r="M66" s="161"/>
      <c r="N66" s="161"/>
      <c r="O66" s="166"/>
      <c r="AF66" s="154"/>
      <c r="AH66" s="66"/>
      <c r="AI66" s="154"/>
    </row>
    <row r="67" spans="1:36" s="2" customFormat="1" ht="16.5" customHeight="1">
      <c r="B67" s="51" t="s">
        <v>263</v>
      </c>
      <c r="C67" s="55" t="s">
        <v>262</v>
      </c>
      <c r="D67" s="107">
        <f>SUM(D68:D69)</f>
        <v>44606000000</v>
      </c>
      <c r="E67" s="107">
        <f t="shared" ref="E67:H67" si="19">SUM(E68:E69)</f>
        <v>0</v>
      </c>
      <c r="F67" s="107">
        <f t="shared" si="19"/>
        <v>0</v>
      </c>
      <c r="G67" s="107">
        <f t="shared" si="19"/>
        <v>44606000000</v>
      </c>
      <c r="H67" s="167">
        <f t="shared" si="19"/>
        <v>0</v>
      </c>
      <c r="I67" s="159">
        <f t="shared" si="5"/>
        <v>0</v>
      </c>
      <c r="J67" s="161"/>
      <c r="K67" s="161"/>
      <c r="L67" s="161"/>
      <c r="M67" s="161"/>
      <c r="N67" s="161"/>
      <c r="O67" s="166"/>
      <c r="AF67" s="154"/>
      <c r="AH67" s="66"/>
      <c r="AI67" s="154"/>
    </row>
    <row r="68" spans="1:36" s="2" customFormat="1" ht="16.5" customHeight="1">
      <c r="B68" s="53" t="s">
        <v>264</v>
      </c>
      <c r="C68" s="52" t="s">
        <v>266</v>
      </c>
      <c r="D68" s="76">
        <v>29156000000</v>
      </c>
      <c r="E68" s="107">
        <v>0</v>
      </c>
      <c r="F68" s="107">
        <v>0</v>
      </c>
      <c r="G68" s="127">
        <f t="shared" ref="G68:G69" si="20">+D68+E68-F68</f>
        <v>29156000000</v>
      </c>
      <c r="H68" s="167"/>
      <c r="I68" s="160">
        <f t="shared" si="5"/>
        <v>0</v>
      </c>
      <c r="J68" s="161"/>
      <c r="K68" s="161"/>
      <c r="L68" s="161"/>
      <c r="M68" s="161"/>
      <c r="N68" s="161"/>
      <c r="O68" s="166"/>
      <c r="AF68" s="154"/>
      <c r="AH68" s="66"/>
      <c r="AI68" s="154"/>
    </row>
    <row r="69" spans="1:36" s="2" customFormat="1" ht="16.5" customHeight="1">
      <c r="B69" s="53" t="s">
        <v>265</v>
      </c>
      <c r="C69" s="52" t="s">
        <v>267</v>
      </c>
      <c r="D69" s="76">
        <v>15450000000</v>
      </c>
      <c r="E69" s="107">
        <v>0</v>
      </c>
      <c r="F69" s="107">
        <v>0</v>
      </c>
      <c r="G69" s="127">
        <f t="shared" si="20"/>
        <v>15450000000</v>
      </c>
      <c r="H69" s="167"/>
      <c r="I69" s="160">
        <f t="shared" si="5"/>
        <v>0</v>
      </c>
      <c r="J69" s="161"/>
      <c r="K69" s="161"/>
      <c r="L69" s="161"/>
      <c r="M69" s="161"/>
      <c r="N69" s="161"/>
      <c r="O69" s="166"/>
      <c r="AF69" s="154"/>
      <c r="AH69" s="66"/>
      <c r="AI69" s="154"/>
    </row>
    <row r="70" spans="1:36" s="2" customFormat="1" ht="16.5" customHeight="1">
      <c r="B70" s="53" t="s">
        <v>166</v>
      </c>
      <c r="C70" s="52" t="s">
        <v>167</v>
      </c>
      <c r="D70" s="57">
        <f>+D71</f>
        <v>516652878</v>
      </c>
      <c r="E70" s="57">
        <f>SUM(E71:E73)</f>
        <v>0</v>
      </c>
      <c r="F70" s="57">
        <f>SUM(F71:F73)</f>
        <v>0</v>
      </c>
      <c r="G70" s="57">
        <f t="shared" ref="G70:H72" si="21">+G71</f>
        <v>516652878</v>
      </c>
      <c r="H70" s="76">
        <f t="shared" si="21"/>
        <v>0</v>
      </c>
      <c r="I70" s="160">
        <f t="shared" si="5"/>
        <v>0</v>
      </c>
      <c r="J70" s="161"/>
      <c r="K70" s="161"/>
      <c r="L70" s="161"/>
      <c r="M70" s="161"/>
      <c r="N70" s="161"/>
      <c r="O70" s="166"/>
      <c r="AF70" s="154">
        <f>+G70-I70</f>
        <v>516652878</v>
      </c>
      <c r="AH70" s="100"/>
      <c r="AI70" s="154"/>
    </row>
    <row r="71" spans="1:36" ht="16.5" customHeight="1">
      <c r="B71" s="53" t="s">
        <v>168</v>
      </c>
      <c r="C71" s="52" t="s">
        <v>1</v>
      </c>
      <c r="D71" s="57">
        <f>+D72</f>
        <v>516652878</v>
      </c>
      <c r="E71" s="57">
        <v>0</v>
      </c>
      <c r="F71" s="57"/>
      <c r="G71" s="57">
        <f t="shared" si="21"/>
        <v>516652878</v>
      </c>
      <c r="H71" s="76">
        <f t="shared" si="21"/>
        <v>0</v>
      </c>
      <c r="I71" s="160">
        <f t="shared" si="5"/>
        <v>0</v>
      </c>
      <c r="J71" s="161"/>
      <c r="K71" s="161"/>
      <c r="L71" s="161"/>
      <c r="M71" s="161"/>
      <c r="N71" s="161"/>
      <c r="AF71" s="154">
        <f>+G71-I71</f>
        <v>516652878</v>
      </c>
      <c r="AH71" s="65"/>
    </row>
    <row r="72" spans="1:36" ht="16.5" customHeight="1">
      <c r="B72" s="53" t="s">
        <v>169</v>
      </c>
      <c r="C72" s="52" t="s">
        <v>170</v>
      </c>
      <c r="D72" s="57">
        <f>+D73</f>
        <v>516652878</v>
      </c>
      <c r="E72" s="57">
        <v>0</v>
      </c>
      <c r="F72" s="57"/>
      <c r="G72" s="57">
        <f t="shared" si="21"/>
        <v>516652878</v>
      </c>
      <c r="H72" s="76">
        <f t="shared" si="21"/>
        <v>0</v>
      </c>
      <c r="I72" s="160">
        <f t="shared" si="5"/>
        <v>0</v>
      </c>
      <c r="J72" s="161"/>
      <c r="K72" s="161"/>
      <c r="L72" s="161"/>
      <c r="M72" s="161"/>
      <c r="N72" s="161"/>
      <c r="AF72" s="154">
        <f>+G72-I72</f>
        <v>516652878</v>
      </c>
      <c r="AH72" s="65"/>
    </row>
    <row r="73" spans="1:36" ht="16.5" customHeight="1">
      <c r="A73" s="112"/>
      <c r="B73" s="203" t="s">
        <v>171</v>
      </c>
      <c r="C73" s="55" t="s">
        <v>172</v>
      </c>
      <c r="D73" s="107">
        <f>SUM(D74:D75)</f>
        <v>516652878</v>
      </c>
      <c r="E73" s="107">
        <f>SUM(E74:E75)</f>
        <v>0</v>
      </c>
      <c r="F73" s="107">
        <f>SUM(F74:F75)</f>
        <v>0</v>
      </c>
      <c r="G73" s="107">
        <f>SUM(G74:G75)</f>
        <v>516652878</v>
      </c>
      <c r="H73" s="167">
        <f>SUM(H74:H75)</f>
        <v>0</v>
      </c>
      <c r="I73" s="159">
        <f t="shared" si="5"/>
        <v>0</v>
      </c>
      <c r="J73" s="161"/>
      <c r="K73" s="161"/>
      <c r="L73" s="161"/>
      <c r="M73" s="161"/>
      <c r="N73" s="161"/>
      <c r="AF73" s="154">
        <f>+G73-I73</f>
        <v>516652878</v>
      </c>
      <c r="AH73" s="2"/>
    </row>
    <row r="74" spans="1:36" ht="16.5" customHeight="1">
      <c r="A74" s="112"/>
      <c r="B74" s="110" t="s">
        <v>205</v>
      </c>
      <c r="C74" s="52" t="s">
        <v>24</v>
      </c>
      <c r="D74" s="76">
        <v>224006413</v>
      </c>
      <c r="E74" s="57">
        <v>0</v>
      </c>
      <c r="F74" s="57">
        <v>0</v>
      </c>
      <c r="G74" s="76">
        <f>+E74+D74</f>
        <v>224006413</v>
      </c>
      <c r="H74" s="76">
        <v>0</v>
      </c>
      <c r="I74" s="160">
        <f t="shared" si="5"/>
        <v>0</v>
      </c>
      <c r="J74" s="161"/>
      <c r="K74" s="161"/>
      <c r="L74" s="161"/>
      <c r="M74" s="161"/>
      <c r="N74" s="161"/>
      <c r="AH74" s="66"/>
    </row>
    <row r="75" spans="1:36" ht="16.5" customHeight="1">
      <c r="A75" s="112"/>
      <c r="B75" s="110" t="s">
        <v>206</v>
      </c>
      <c r="C75" s="52" t="s">
        <v>25</v>
      </c>
      <c r="D75" s="76">
        <v>292646465</v>
      </c>
      <c r="E75" s="57">
        <v>0</v>
      </c>
      <c r="F75" s="57">
        <v>0</v>
      </c>
      <c r="G75" s="76">
        <f>+E75+D75</f>
        <v>292646465</v>
      </c>
      <c r="H75" s="193">
        <v>0</v>
      </c>
      <c r="I75" s="160">
        <f t="shared" si="5"/>
        <v>0</v>
      </c>
      <c r="J75" s="161"/>
      <c r="K75" s="161"/>
      <c r="L75" s="161"/>
      <c r="M75" s="161"/>
      <c r="N75" s="161"/>
      <c r="AH75" s="66"/>
    </row>
    <row r="76" spans="1:36" ht="16.5" customHeight="1">
      <c r="B76" s="191"/>
      <c r="C76" s="58" t="s">
        <v>228</v>
      </c>
      <c r="D76" s="168">
        <f>+D77</f>
        <v>4898571340</v>
      </c>
      <c r="E76" s="168">
        <f>+E77</f>
        <v>0</v>
      </c>
      <c r="F76" s="168">
        <f>+F77</f>
        <v>0</v>
      </c>
      <c r="G76" s="168">
        <f>+G77</f>
        <v>4898571340</v>
      </c>
      <c r="H76" s="249">
        <f>+H77</f>
        <v>655294097</v>
      </c>
      <c r="I76" s="169">
        <f>+H76/G76</f>
        <v>0.13377249232834487</v>
      </c>
      <c r="J76" s="161"/>
      <c r="K76" s="161"/>
      <c r="L76" s="161"/>
      <c r="M76" s="161"/>
      <c r="N76" s="161"/>
      <c r="AF76" s="154">
        <f t="shared" ref="AF76:AF82" si="22">+G76-I76</f>
        <v>4898571339.8662271</v>
      </c>
      <c r="AI76" s="12"/>
    </row>
    <row r="77" spans="1:36" ht="16.5" customHeight="1">
      <c r="B77" s="59"/>
      <c r="C77" s="60" t="s">
        <v>2</v>
      </c>
      <c r="D77" s="170">
        <f>+D78+D79+D80+D81</f>
        <v>4898571340</v>
      </c>
      <c r="E77" s="170">
        <f t="shared" ref="E77:H77" si="23">+E78+E79+E80+E81</f>
        <v>0</v>
      </c>
      <c r="F77" s="170">
        <f t="shared" si="23"/>
        <v>0</v>
      </c>
      <c r="G77" s="170">
        <f t="shared" si="23"/>
        <v>4898571340</v>
      </c>
      <c r="H77" s="167">
        <f t="shared" si="23"/>
        <v>655294097</v>
      </c>
      <c r="I77" s="160">
        <f t="shared" si="5"/>
        <v>0.13377249232834487</v>
      </c>
      <c r="J77" s="161"/>
      <c r="K77" s="161"/>
      <c r="L77" s="161"/>
      <c r="M77" s="161"/>
      <c r="N77" s="161"/>
      <c r="P77" s="12"/>
      <c r="T77" s="154"/>
      <c r="X77" s="13"/>
      <c r="AF77" s="154">
        <f t="shared" si="22"/>
        <v>4898571339.8662271</v>
      </c>
    </row>
    <row r="78" spans="1:36" ht="16.5" customHeight="1">
      <c r="B78" s="61"/>
      <c r="C78" s="62" t="s">
        <v>22</v>
      </c>
      <c r="D78" s="76">
        <v>4806900000</v>
      </c>
      <c r="E78" s="171"/>
      <c r="F78" s="171">
        <v>0</v>
      </c>
      <c r="G78" s="76">
        <f>+E78+D78</f>
        <v>4806900000</v>
      </c>
      <c r="H78" s="123">
        <v>655294097</v>
      </c>
      <c r="I78" s="160">
        <f t="shared" si="5"/>
        <v>0.13632363831159375</v>
      </c>
      <c r="J78" s="161"/>
      <c r="K78" s="161"/>
      <c r="L78" s="161"/>
      <c r="M78" s="161"/>
      <c r="N78" s="161"/>
      <c r="Q78" s="12"/>
      <c r="T78" s="13" t="str">
        <f>+[1]REP_PAC018_SituacionCupoPACActu!$Z$23</f>
        <v>1.896.610.358,67</v>
      </c>
      <c r="U78" s="13">
        <f>+T78-I78</f>
        <v>1896610358.5336764</v>
      </c>
      <c r="V78" s="13"/>
      <c r="X78" s="13"/>
      <c r="AF78" s="154">
        <f t="shared" si="22"/>
        <v>4806899999.8636761</v>
      </c>
      <c r="AH78" s="2"/>
      <c r="AI78" s="13"/>
      <c r="AJ78" s="13"/>
    </row>
    <row r="79" spans="1:36" ht="16.5" customHeight="1">
      <c r="B79" s="61"/>
      <c r="C79" s="62" t="s">
        <v>275</v>
      </c>
      <c r="D79" s="76">
        <v>65600000</v>
      </c>
      <c r="E79" s="171">
        <v>0</v>
      </c>
      <c r="F79" s="171">
        <v>0</v>
      </c>
      <c r="G79" s="76">
        <f>+E79+D79</f>
        <v>65600000</v>
      </c>
      <c r="H79" s="193">
        <v>0</v>
      </c>
      <c r="I79" s="160">
        <f t="shared" si="5"/>
        <v>0</v>
      </c>
      <c r="J79" s="161"/>
      <c r="K79" s="161"/>
      <c r="L79" s="161"/>
      <c r="M79" s="161"/>
      <c r="N79" s="161"/>
      <c r="P79" s="12"/>
      <c r="Q79" s="12"/>
      <c r="T79" s="13" t="e">
        <f>+I78+#REF!+#REF!</f>
        <v>#REF!</v>
      </c>
      <c r="X79" s="12"/>
      <c r="AF79" s="154">
        <f t="shared" si="22"/>
        <v>65600000</v>
      </c>
      <c r="AH79" s="2"/>
      <c r="AI79" s="13"/>
      <c r="AJ79" s="13"/>
    </row>
    <row r="80" spans="1:36" ht="16.5" customHeight="1">
      <c r="B80" s="61"/>
      <c r="C80" s="62" t="s">
        <v>276</v>
      </c>
      <c r="D80" s="76">
        <v>18800000</v>
      </c>
      <c r="E80" s="171">
        <v>0</v>
      </c>
      <c r="F80" s="171">
        <v>0</v>
      </c>
      <c r="G80" s="76">
        <f>+E80+D80</f>
        <v>18800000</v>
      </c>
      <c r="H80" s="76">
        <v>0</v>
      </c>
      <c r="I80" s="160">
        <f t="shared" ref="I80" si="24">+H80/G80</f>
        <v>0</v>
      </c>
      <c r="J80" s="161"/>
      <c r="K80" s="161"/>
      <c r="L80" s="161"/>
      <c r="M80" s="161"/>
      <c r="N80" s="161"/>
      <c r="P80" s="12"/>
      <c r="Q80" s="12"/>
      <c r="T80" s="13"/>
      <c r="X80" s="12"/>
      <c r="AH80" s="2"/>
      <c r="AI80" s="13"/>
      <c r="AJ80" s="13"/>
    </row>
    <row r="81" spans="2:35" ht="16.5" customHeight="1">
      <c r="B81" s="61"/>
      <c r="C81" s="62" t="s">
        <v>239</v>
      </c>
      <c r="D81" s="76">
        <v>7271340</v>
      </c>
      <c r="E81" s="171">
        <v>0</v>
      </c>
      <c r="F81" s="171">
        <v>0</v>
      </c>
      <c r="G81" s="76">
        <f>+E81+D81</f>
        <v>7271340</v>
      </c>
      <c r="H81" s="76">
        <v>0</v>
      </c>
      <c r="I81" s="160">
        <f t="shared" si="5"/>
        <v>0</v>
      </c>
      <c r="J81" s="161"/>
      <c r="K81" s="161"/>
      <c r="L81" s="161"/>
      <c r="M81" s="161"/>
      <c r="N81" s="161"/>
      <c r="T81" s="13"/>
      <c r="X81" s="12"/>
      <c r="AF81" s="154">
        <f t="shared" si="22"/>
        <v>7271340</v>
      </c>
      <c r="AH81" s="2"/>
      <c r="AI81" s="13"/>
    </row>
    <row r="82" spans="2:35" ht="16.5" customHeight="1" thickBot="1">
      <c r="B82" s="63"/>
      <c r="C82" s="64" t="s">
        <v>233</v>
      </c>
      <c r="D82" s="114">
        <f>+D7+D76</f>
        <v>101684289929</v>
      </c>
      <c r="E82" s="114">
        <f>+E7+E76</f>
        <v>0</v>
      </c>
      <c r="F82" s="114">
        <f>+F7+F76</f>
        <v>0</v>
      </c>
      <c r="G82" s="114">
        <f>+G7+G76</f>
        <v>101684289929</v>
      </c>
      <c r="H82" s="246">
        <f>+H7+H76</f>
        <v>7873637785.420001</v>
      </c>
      <c r="I82" s="172">
        <f>+H82/G82</f>
        <v>7.7432195188830905E-2</v>
      </c>
      <c r="J82" s="161"/>
      <c r="K82" s="161"/>
      <c r="L82" s="161"/>
      <c r="M82" s="161"/>
      <c r="N82" s="161"/>
      <c r="P82" s="12"/>
      <c r="AF82" s="154">
        <f t="shared" si="22"/>
        <v>101684289928.92256</v>
      </c>
      <c r="AH82" s="173"/>
      <c r="AI82" s="12"/>
    </row>
    <row r="83" spans="2:35" ht="16.5" customHeight="1">
      <c r="B83" s="83"/>
      <c r="C83" s="84"/>
      <c r="D83" s="174"/>
      <c r="E83" s="174"/>
      <c r="F83" s="174"/>
      <c r="G83" s="174"/>
      <c r="H83" s="174"/>
      <c r="I83" s="174"/>
      <c r="J83" s="161"/>
      <c r="K83" s="161"/>
      <c r="L83" s="161"/>
      <c r="M83" s="161"/>
      <c r="N83" s="161"/>
      <c r="P83" s="12"/>
      <c r="AH83" s="81">
        <f>+I82-I83</f>
        <v>7.7432195188830905E-2</v>
      </c>
      <c r="AI83" s="12"/>
    </row>
    <row r="84" spans="2:35" ht="16.5" customHeight="1" thickBot="1">
      <c r="B84" s="117"/>
      <c r="C84" s="118"/>
      <c r="D84" s="119"/>
      <c r="E84" s="120"/>
      <c r="F84" s="120"/>
      <c r="G84" s="190"/>
      <c r="H84" s="125"/>
      <c r="I84" s="121"/>
      <c r="J84" s="161"/>
      <c r="K84" s="161"/>
      <c r="L84" s="161"/>
      <c r="M84" s="161"/>
      <c r="N84" s="161"/>
      <c r="P84" s="12"/>
      <c r="AH84" s="12"/>
      <c r="AI84" s="12"/>
    </row>
    <row r="85" spans="2:35" ht="16.5" customHeight="1">
      <c r="B85" s="220"/>
      <c r="C85" s="221"/>
      <c r="D85" s="221"/>
      <c r="E85" s="221"/>
      <c r="F85" s="221"/>
      <c r="G85" s="221"/>
      <c r="H85" s="221"/>
      <c r="I85" s="222"/>
      <c r="J85" s="161"/>
      <c r="K85" s="161"/>
      <c r="L85" s="161"/>
      <c r="M85" s="161"/>
      <c r="N85" s="161"/>
      <c r="P85" s="12"/>
      <c r="AH85" s="12"/>
      <c r="AI85" s="12"/>
    </row>
    <row r="86" spans="2:35" ht="16.5" customHeight="1">
      <c r="B86" s="77">
        <v>410001</v>
      </c>
      <c r="C86" s="75" t="s">
        <v>78</v>
      </c>
      <c r="D86" s="204">
        <v>15139000</v>
      </c>
      <c r="E86" s="205"/>
      <c r="F86" s="205"/>
      <c r="G86" s="205">
        <f>+D86+E86</f>
        <v>15139000</v>
      </c>
      <c r="H86" s="205">
        <v>15139000</v>
      </c>
      <c r="I86" s="115"/>
      <c r="J86" s="161"/>
      <c r="K86" s="161"/>
      <c r="L86" s="161"/>
      <c r="M86" s="161"/>
      <c r="N86" s="161"/>
      <c r="P86" s="12"/>
      <c r="AH86" s="81"/>
      <c r="AI86" s="12"/>
    </row>
    <row r="87" spans="2:35" ht="16.5" customHeight="1" thickBot="1">
      <c r="B87" s="78"/>
      <c r="C87" s="79" t="s">
        <v>86</v>
      </c>
      <c r="D87" s="80">
        <f>SUM(D86:D86)</f>
        <v>15139000</v>
      </c>
      <c r="E87" s="80">
        <f>SUM(E84:E86)</f>
        <v>0</v>
      </c>
      <c r="F87" s="80"/>
      <c r="G87" s="80">
        <f>SUM(G86:G86)</f>
        <v>15139000</v>
      </c>
      <c r="H87" s="80">
        <f>SUM(H86:H86)</f>
        <v>15139000</v>
      </c>
      <c r="I87" s="116"/>
      <c r="J87" s="161"/>
      <c r="K87" s="161"/>
      <c r="L87" s="161"/>
      <c r="M87" s="161"/>
      <c r="N87" s="161"/>
      <c r="P87" s="12"/>
      <c r="AH87" s="74"/>
      <c r="AI87" s="12"/>
    </row>
    <row r="88" spans="2:35">
      <c r="B88" s="1"/>
      <c r="G88" s="1"/>
      <c r="J88" s="161"/>
      <c r="K88" s="161"/>
      <c r="L88" s="161"/>
      <c r="M88" s="161"/>
      <c r="N88" s="161"/>
      <c r="P88" s="12"/>
      <c r="AH88" s="74"/>
      <c r="AI88" s="12"/>
    </row>
    <row r="89" spans="2:35" ht="12.75" thickBot="1">
      <c r="B89" s="1"/>
      <c r="G89" s="1"/>
      <c r="J89" s="161"/>
      <c r="K89" s="161"/>
      <c r="L89" s="161"/>
      <c r="M89" s="161"/>
      <c r="N89" s="161"/>
      <c r="P89" s="12"/>
      <c r="AH89" s="74"/>
      <c r="AI89" s="12"/>
    </row>
    <row r="90" spans="2:35">
      <c r="B90" s="208" t="s">
        <v>19</v>
      </c>
      <c r="C90" s="209"/>
      <c r="D90" s="209"/>
      <c r="E90" s="209"/>
      <c r="F90" s="209"/>
      <c r="G90" s="209"/>
      <c r="H90" s="209"/>
      <c r="I90" s="210"/>
      <c r="J90" s="161"/>
      <c r="K90" s="161"/>
      <c r="L90" s="161"/>
      <c r="M90" s="161"/>
      <c r="N90" s="161"/>
      <c r="P90" s="12"/>
      <c r="AH90" s="74"/>
      <c r="AI90" s="12"/>
    </row>
    <row r="91" spans="2:35">
      <c r="B91" s="211" t="s">
        <v>10</v>
      </c>
      <c r="C91" s="212"/>
      <c r="D91" s="212"/>
      <c r="E91" s="212"/>
      <c r="F91" s="212"/>
      <c r="G91" s="212"/>
      <c r="H91" s="212"/>
      <c r="I91" s="213"/>
      <c r="J91" s="161"/>
      <c r="K91" s="161"/>
      <c r="L91" s="161"/>
      <c r="M91" s="161"/>
      <c r="N91" s="161"/>
      <c r="P91" s="12"/>
      <c r="AH91" s="74"/>
      <c r="AI91" s="12"/>
    </row>
    <row r="92" spans="2:35">
      <c r="B92" s="211" t="s">
        <v>274</v>
      </c>
      <c r="C92" s="212"/>
      <c r="D92" s="212"/>
      <c r="E92" s="212"/>
      <c r="F92" s="212"/>
      <c r="G92" s="212"/>
      <c r="H92" s="212"/>
      <c r="I92" s="213"/>
      <c r="J92" s="161"/>
      <c r="K92" s="161"/>
      <c r="L92" s="161"/>
      <c r="M92" s="161"/>
      <c r="N92" s="161"/>
      <c r="P92" s="12"/>
      <c r="AH92" s="74"/>
      <c r="AI92" s="12"/>
    </row>
    <row r="93" spans="2:35" ht="12.75" thickBot="1">
      <c r="B93" s="214" t="s">
        <v>294</v>
      </c>
      <c r="C93" s="215"/>
      <c r="D93" s="215"/>
      <c r="E93" s="215"/>
      <c r="F93" s="215"/>
      <c r="G93" s="215"/>
      <c r="H93" s="215"/>
      <c r="I93" s="216"/>
      <c r="J93" s="161"/>
      <c r="K93" s="161"/>
      <c r="L93" s="161"/>
      <c r="M93" s="161"/>
      <c r="N93" s="161"/>
      <c r="P93" s="12"/>
      <c r="AH93" s="74"/>
      <c r="AI93" s="12"/>
    </row>
    <row r="94" spans="2:35" ht="31.5" customHeight="1" thickBot="1">
      <c r="B94" s="23"/>
      <c r="C94" s="49" t="s">
        <v>0</v>
      </c>
      <c r="D94" s="49" t="s">
        <v>20</v>
      </c>
      <c r="E94" s="49" t="s">
        <v>79</v>
      </c>
      <c r="F94" s="49" t="s">
        <v>80</v>
      </c>
      <c r="G94" s="49" t="s">
        <v>21</v>
      </c>
      <c r="H94" s="122" t="s">
        <v>295</v>
      </c>
      <c r="I94" s="50" t="s">
        <v>215</v>
      </c>
      <c r="M94" s="154"/>
      <c r="P94" s="12"/>
      <c r="AH94" s="74"/>
      <c r="AI94" s="12"/>
    </row>
    <row r="95" spans="2:35" ht="15" customHeight="1">
      <c r="B95" s="53" t="s">
        <v>207</v>
      </c>
      <c r="C95" s="113" t="s">
        <v>208</v>
      </c>
      <c r="D95" s="54">
        <v>79057608517</v>
      </c>
      <c r="E95" s="85">
        <v>0</v>
      </c>
      <c r="F95" s="89">
        <v>0</v>
      </c>
      <c r="G95" s="76">
        <f>+E95+D95</f>
        <v>79057608517</v>
      </c>
      <c r="H95" s="123">
        <v>46478802772</v>
      </c>
      <c r="I95" s="175">
        <f>+H95/G95</f>
        <v>0.58791055843797146</v>
      </c>
      <c r="J95" s="82"/>
      <c r="M95" s="154"/>
      <c r="P95" s="12"/>
      <c r="AH95" s="74"/>
      <c r="AI95" s="12"/>
    </row>
    <row r="96" spans="2:35" ht="15" customHeight="1" thickBot="1">
      <c r="B96" s="63"/>
      <c r="C96" s="64" t="s">
        <v>234</v>
      </c>
      <c r="D96" s="114">
        <f>+D95</f>
        <v>79057608517</v>
      </c>
      <c r="E96" s="114">
        <f>+E95</f>
        <v>0</v>
      </c>
      <c r="F96" s="114">
        <f>+F95</f>
        <v>0</v>
      </c>
      <c r="G96" s="114">
        <f>+G95</f>
        <v>79057608517</v>
      </c>
      <c r="H96" s="114">
        <f>+H95</f>
        <v>46478802772</v>
      </c>
      <c r="I96" s="172">
        <f>+H96/G96</f>
        <v>0.58791055843797146</v>
      </c>
      <c r="M96" s="154"/>
      <c r="P96" s="12"/>
      <c r="AH96" s="74"/>
      <c r="AI96" s="12"/>
    </row>
    <row r="97" spans="2:35">
      <c r="B97" s="1"/>
      <c r="G97" s="1"/>
      <c r="M97" s="154"/>
      <c r="P97" s="12"/>
      <c r="AH97" s="74"/>
      <c r="AI97" s="12"/>
    </row>
    <row r="98" spans="2:35">
      <c r="B98" s="1"/>
      <c r="G98" s="1"/>
      <c r="M98" s="154"/>
      <c r="P98" s="12"/>
      <c r="AH98" s="74"/>
      <c r="AI98" s="12"/>
    </row>
    <row r="99" spans="2:35">
      <c r="B99" s="1"/>
      <c r="G99" s="1"/>
      <c r="H99" s="154"/>
      <c r="M99" s="154"/>
      <c r="P99" s="12"/>
      <c r="AH99" s="74"/>
      <c r="AI99" s="12"/>
    </row>
    <row r="100" spans="2:35">
      <c r="B100" s="1"/>
      <c r="G100" s="1"/>
      <c r="H100" s="154"/>
      <c r="J100" s="12"/>
      <c r="L100" s="154"/>
      <c r="M100" s="154"/>
      <c r="P100" s="12"/>
      <c r="AH100" s="74"/>
      <c r="AI100" s="12"/>
    </row>
    <row r="101" spans="2:35">
      <c r="B101" s="1"/>
      <c r="G101" s="1"/>
      <c r="H101" s="154"/>
      <c r="J101" s="12"/>
      <c r="L101" s="154"/>
      <c r="M101" s="154"/>
      <c r="P101" s="12"/>
      <c r="AH101" s="74"/>
      <c r="AI101" s="12"/>
    </row>
    <row r="102" spans="2:35">
      <c r="B102" s="1"/>
      <c r="G102" s="1"/>
      <c r="H102" s="154"/>
      <c r="J102" s="12"/>
      <c r="L102" s="154"/>
      <c r="M102" s="154"/>
      <c r="P102" s="12"/>
      <c r="AH102" s="74"/>
      <c r="AI102" s="12"/>
    </row>
    <row r="103" spans="2:35">
      <c r="B103" s="1"/>
      <c r="G103" s="1"/>
      <c r="J103" s="12"/>
      <c r="L103" s="154"/>
      <c r="M103" s="154"/>
      <c r="P103" s="12"/>
      <c r="AH103" s="74"/>
      <c r="AI103" s="12"/>
    </row>
    <row r="104" spans="2:35">
      <c r="B104" s="1"/>
      <c r="G104" s="1"/>
      <c r="J104" s="3"/>
      <c r="AI104" s="12"/>
    </row>
    <row r="105" spans="2:35">
      <c r="B105" s="1"/>
      <c r="G105" s="1"/>
      <c r="J105" s="3"/>
    </row>
    <row r="106" spans="2:35">
      <c r="B106" s="1"/>
      <c r="G106" s="1"/>
      <c r="J106" s="3"/>
    </row>
    <row r="107" spans="2:35">
      <c r="B107" s="1"/>
      <c r="G107" s="1"/>
      <c r="J107" s="3"/>
    </row>
    <row r="108" spans="2:35">
      <c r="B108" s="1"/>
      <c r="G108" s="1"/>
      <c r="AI108" s="12"/>
    </row>
    <row r="109" spans="2:35">
      <c r="B109" s="1"/>
      <c r="G109" s="1"/>
    </row>
    <row r="110" spans="2:35">
      <c r="B110" s="1"/>
      <c r="G110" s="1"/>
    </row>
    <row r="111" spans="2:35">
      <c r="B111" s="1"/>
      <c r="G111" s="1"/>
    </row>
    <row r="112" spans="2:35">
      <c r="B112" s="1"/>
      <c r="G112" s="1"/>
    </row>
    <row r="113" spans="2:7">
      <c r="B113" s="1"/>
      <c r="G113" s="1"/>
    </row>
    <row r="114" spans="2:7">
      <c r="B114" s="1"/>
      <c r="G114" s="1"/>
    </row>
    <row r="115" spans="2:7">
      <c r="B115" s="1"/>
      <c r="G115" s="1"/>
    </row>
    <row r="116" spans="2:7">
      <c r="B116" s="1"/>
      <c r="G116" s="1"/>
    </row>
    <row r="117" spans="2:7">
      <c r="B117" s="1"/>
      <c r="G117" s="1"/>
    </row>
    <row r="118" spans="2:7">
      <c r="B118" s="1"/>
      <c r="G118" s="1"/>
    </row>
    <row r="119" spans="2:7">
      <c r="B119" s="1"/>
      <c r="G119" s="1"/>
    </row>
    <row r="120" spans="2:7">
      <c r="B120" s="1"/>
      <c r="G120" s="1"/>
    </row>
    <row r="121" spans="2:7">
      <c r="B121" s="1"/>
      <c r="G121" s="1"/>
    </row>
    <row r="122" spans="2:7">
      <c r="B122" s="1"/>
      <c r="G122" s="1"/>
    </row>
  </sheetData>
  <mergeCells count="10">
    <mergeCell ref="B90:I90"/>
    <mergeCell ref="B91:I91"/>
    <mergeCell ref="B92:I92"/>
    <mergeCell ref="B93:I93"/>
    <mergeCell ref="B1:I1"/>
    <mergeCell ref="B2:I2"/>
    <mergeCell ref="B3:I3"/>
    <mergeCell ref="B4:I4"/>
    <mergeCell ref="B5:I5"/>
    <mergeCell ref="B85:I85"/>
  </mergeCells>
  <pageMargins left="0.56999999999999995" right="0.72" top="0.35433070866141736" bottom="0.31496062992125984" header="0.31496062992125984" footer="0.31496062992125984"/>
  <pageSetup scale="54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2"/>
  <sheetViews>
    <sheetView zoomScaleNormal="100" workbookViewId="0">
      <pane ySplit="1" topLeftCell="A2" activePane="bottomLeft" state="frozen"/>
      <selection pane="bottomLeft" sqref="A1:R1"/>
    </sheetView>
  </sheetViews>
  <sheetFormatPr baseColWidth="10" defaultColWidth="11.42578125" defaultRowHeight="12.75"/>
  <cols>
    <col min="1" max="1" width="28.85546875" style="10" customWidth="1"/>
    <col min="2" max="2" width="42.28515625" style="4" customWidth="1"/>
    <col min="3" max="6" width="18.28515625" style="4" customWidth="1"/>
    <col min="7" max="7" width="18.28515625" style="196" customWidth="1"/>
    <col min="8" max="8" width="8.140625" style="4" customWidth="1"/>
    <col min="9" max="9" width="17" style="4" bestFit="1" customWidth="1"/>
    <col min="10" max="10" width="20.7109375" style="4" bestFit="1" customWidth="1"/>
    <col min="11" max="11" width="18" style="4" bestFit="1" customWidth="1"/>
    <col min="12" max="12" width="14.7109375" style="4" bestFit="1" customWidth="1"/>
    <col min="13" max="13" width="16.28515625" style="4" bestFit="1" customWidth="1"/>
    <col min="14" max="14" width="8.5703125" style="4" customWidth="1"/>
    <col min="15" max="17" width="17.8554687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>
      <c r="A1" s="233" t="s">
        <v>12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</row>
    <row r="2" spans="1:22">
      <c r="A2" s="234" t="s">
        <v>13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  <c r="N2" s="235"/>
      <c r="O2" s="235"/>
      <c r="P2" s="235"/>
      <c r="Q2" s="235"/>
      <c r="R2" s="236"/>
    </row>
    <row r="3" spans="1:22">
      <c r="A3" s="237" t="s">
        <v>227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9"/>
    </row>
    <row r="4" spans="1:22">
      <c r="A4" s="237" t="s">
        <v>81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9"/>
    </row>
    <row r="5" spans="1:22" ht="13.5" thickBot="1">
      <c r="A5" s="240" t="s">
        <v>293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2"/>
    </row>
    <row r="6" spans="1:22" s="18" customFormat="1" ht="42" customHeight="1" thickBot="1">
      <c r="A6" s="17"/>
      <c r="B6" s="231" t="s">
        <v>3</v>
      </c>
      <c r="C6" s="228" t="s">
        <v>4</v>
      </c>
      <c r="D6" s="229"/>
      <c r="E6" s="229"/>
      <c r="F6" s="229"/>
      <c r="G6" s="229"/>
      <c r="H6" s="186"/>
      <c r="I6" s="228" t="s">
        <v>5</v>
      </c>
      <c r="J6" s="229"/>
      <c r="K6" s="229"/>
      <c r="L6" s="229"/>
      <c r="M6" s="229"/>
      <c r="N6" s="186"/>
      <c r="O6" s="228" t="s">
        <v>218</v>
      </c>
      <c r="P6" s="232"/>
      <c r="Q6" s="232"/>
      <c r="R6" s="230"/>
    </row>
    <row r="7" spans="1:22" s="18" customFormat="1" ht="35.25" customHeight="1" thickBot="1">
      <c r="A7" s="22"/>
      <c r="B7" s="227"/>
      <c r="C7" s="185" t="s">
        <v>223</v>
      </c>
      <c r="D7" s="31" t="s">
        <v>216</v>
      </c>
      <c r="E7" s="31" t="s">
        <v>217</v>
      </c>
      <c r="F7" s="31" t="s">
        <v>15</v>
      </c>
      <c r="G7" s="31" t="s">
        <v>16</v>
      </c>
      <c r="H7" s="31" t="s">
        <v>224</v>
      </c>
      <c r="I7" s="185" t="s">
        <v>223</v>
      </c>
      <c r="J7" s="31" t="s">
        <v>216</v>
      </c>
      <c r="K7" s="31" t="s">
        <v>217</v>
      </c>
      <c r="L7" s="31" t="s">
        <v>15</v>
      </c>
      <c r="M7" s="187" t="s">
        <v>16</v>
      </c>
      <c r="N7" s="185" t="s">
        <v>224</v>
      </c>
      <c r="O7" s="185" t="s">
        <v>14</v>
      </c>
      <c r="P7" s="185" t="s">
        <v>16</v>
      </c>
      <c r="Q7" s="31" t="s">
        <v>17</v>
      </c>
      <c r="R7" s="31" t="s">
        <v>224</v>
      </c>
    </row>
    <row r="8" spans="1:22" s="6" customFormat="1" ht="16.899999999999999" customHeight="1">
      <c r="A8" s="21" t="s">
        <v>87</v>
      </c>
      <c r="B8" s="32" t="s">
        <v>6</v>
      </c>
      <c r="C8" s="33">
        <v>5591156938</v>
      </c>
      <c r="D8" s="33">
        <v>0</v>
      </c>
      <c r="E8" s="33">
        <v>0</v>
      </c>
      <c r="F8" s="33">
        <f>+C8+D8-E8</f>
        <v>5591156938</v>
      </c>
      <c r="G8" s="33">
        <v>342640698</v>
      </c>
      <c r="H8" s="136">
        <f>+G8/F8</f>
        <v>6.1282611416478186E-2</v>
      </c>
      <c r="I8" s="144"/>
      <c r="J8" s="34"/>
      <c r="K8" s="34"/>
      <c r="L8" s="34"/>
      <c r="M8" s="34"/>
      <c r="N8" s="149"/>
      <c r="O8" s="153">
        <f>+L8+F8</f>
        <v>5591156938</v>
      </c>
      <c r="P8" s="35">
        <f>+G8+M8</f>
        <v>342640698</v>
      </c>
      <c r="Q8" s="35">
        <f>+O8-P8</f>
        <v>5248516240</v>
      </c>
      <c r="R8" s="136">
        <f>+P8/O8</f>
        <v>6.1282611416478186E-2</v>
      </c>
      <c r="S8" s="5"/>
      <c r="T8" s="5"/>
      <c r="U8" s="5"/>
    </row>
    <row r="9" spans="1:22" s="6" customFormat="1" ht="13.9" customHeight="1">
      <c r="A9" s="21" t="s">
        <v>88</v>
      </c>
      <c r="B9" s="36" t="s">
        <v>6</v>
      </c>
      <c r="C9" s="33">
        <v>0</v>
      </c>
      <c r="D9" s="33"/>
      <c r="E9" s="33"/>
      <c r="F9" s="33"/>
      <c r="G9" s="33"/>
      <c r="H9" s="136"/>
      <c r="I9" s="144"/>
      <c r="J9" s="33"/>
      <c r="K9" s="33"/>
      <c r="L9" s="34"/>
      <c r="M9" s="33"/>
      <c r="N9" s="149"/>
      <c r="O9" s="145">
        <f>+L9+F9</f>
        <v>0</v>
      </c>
      <c r="P9" s="37">
        <f>+G9+M9</f>
        <v>0</v>
      </c>
      <c r="Q9" s="37">
        <f>+O9-P9</f>
        <v>0</v>
      </c>
      <c r="R9" s="135"/>
      <c r="T9" s="87"/>
    </row>
    <row r="10" spans="1:22" s="6" customFormat="1" ht="13.9" customHeight="1">
      <c r="A10" s="90" t="s">
        <v>89</v>
      </c>
      <c r="B10" s="36" t="s">
        <v>6</v>
      </c>
      <c r="C10" s="33"/>
      <c r="D10" s="33"/>
      <c r="E10" s="33"/>
      <c r="F10" s="33"/>
      <c r="G10" s="33"/>
      <c r="H10" s="183"/>
      <c r="I10" s="144">
        <f>4806900000</f>
        <v>4806900000</v>
      </c>
      <c r="J10" s="34">
        <v>0</v>
      </c>
      <c r="K10" s="34">
        <v>0</v>
      </c>
      <c r="L10" s="34">
        <f>I10+J10-K10</f>
        <v>4806900000</v>
      </c>
      <c r="M10" s="34">
        <v>839211244</v>
      </c>
      <c r="N10" s="149">
        <f>+M10/L10</f>
        <v>0.17458471031225947</v>
      </c>
      <c r="O10" s="145">
        <f>+L10+F10</f>
        <v>4806900000</v>
      </c>
      <c r="P10" s="37">
        <f>+G10+M10</f>
        <v>839211244</v>
      </c>
      <c r="Q10" s="37">
        <f>+O10-P10</f>
        <v>3967688756</v>
      </c>
      <c r="R10" s="136">
        <f>+P10/O10</f>
        <v>0.17458471031225947</v>
      </c>
      <c r="T10" s="87"/>
    </row>
    <row r="11" spans="1:22" s="6" customFormat="1" ht="10.9" customHeight="1">
      <c r="A11" s="7"/>
      <c r="B11" s="38"/>
      <c r="C11" s="33"/>
      <c r="D11" s="33"/>
      <c r="E11" s="33"/>
      <c r="F11" s="33"/>
      <c r="G11" s="33"/>
      <c r="H11" s="137"/>
      <c r="I11" s="144"/>
      <c r="J11" s="33"/>
      <c r="K11" s="33"/>
      <c r="L11" s="33"/>
      <c r="M11" s="33"/>
      <c r="N11" s="137"/>
      <c r="O11" s="145"/>
      <c r="P11" s="37"/>
      <c r="Q11" s="37"/>
      <c r="R11" s="135"/>
      <c r="T11" s="87"/>
    </row>
    <row r="12" spans="1:22" s="6" customFormat="1" ht="16.149999999999999" customHeight="1">
      <c r="A12" s="7" t="s">
        <v>90</v>
      </c>
      <c r="B12" s="36" t="s">
        <v>91</v>
      </c>
      <c r="C12" s="37">
        <f>SUM(C13:C14)</f>
        <v>9767229707</v>
      </c>
      <c r="D12" s="37">
        <f>SUM(D13:D14)</f>
        <v>0</v>
      </c>
      <c r="E12" s="37">
        <f>SUM(E13:E14)</f>
        <v>0</v>
      </c>
      <c r="F12" s="37">
        <f>SUM(F13:F14)</f>
        <v>9767229707</v>
      </c>
      <c r="G12" s="37">
        <f>SUM(G13:G14)</f>
        <v>3814779791</v>
      </c>
      <c r="H12" s="136">
        <f>+G12/F12</f>
        <v>0.39056927147582238</v>
      </c>
      <c r="I12" s="145"/>
      <c r="J12" s="37"/>
      <c r="K12" s="37"/>
      <c r="L12" s="37"/>
      <c r="M12" s="37"/>
      <c r="N12" s="149"/>
      <c r="O12" s="145">
        <f>SUM(O13:O14)</f>
        <v>9767229707</v>
      </c>
      <c r="P12" s="37">
        <f>SUM(P13:P14)</f>
        <v>3814779791</v>
      </c>
      <c r="Q12" s="37">
        <f>SUM(Q13:Q14)</f>
        <v>5952449916</v>
      </c>
      <c r="R12" s="136">
        <f>+P12/O12</f>
        <v>0.39056927147582238</v>
      </c>
      <c r="S12" s="5"/>
      <c r="T12" s="87"/>
      <c r="U12" s="5"/>
      <c r="V12" s="5"/>
    </row>
    <row r="13" spans="1:22" s="6" customFormat="1" ht="13.15" customHeight="1">
      <c r="A13" s="8" t="s">
        <v>93</v>
      </c>
      <c r="B13" s="39" t="s">
        <v>92</v>
      </c>
      <c r="C13" s="40">
        <f>15972388+21218000</f>
        <v>37190388</v>
      </c>
      <c r="D13" s="40">
        <v>0</v>
      </c>
      <c r="E13" s="40">
        <v>0</v>
      </c>
      <c r="F13" s="40">
        <f>+C13+D13-E13</f>
        <v>37190388</v>
      </c>
      <c r="G13" s="40">
        <v>0</v>
      </c>
      <c r="H13" s="135">
        <f>+G13/F13</f>
        <v>0</v>
      </c>
      <c r="I13" s="146"/>
      <c r="J13" s="40"/>
      <c r="K13" s="40"/>
      <c r="L13" s="34"/>
      <c r="M13" s="40"/>
      <c r="N13" s="150"/>
      <c r="O13" s="26">
        <f>+L13+F13</f>
        <v>37190388</v>
      </c>
      <c r="P13" s="29">
        <f>+G13+M13</f>
        <v>0</v>
      </c>
      <c r="Q13" s="29">
        <f>+O13-P13</f>
        <v>37190388</v>
      </c>
      <c r="R13" s="135">
        <f>+P13/O13</f>
        <v>0</v>
      </c>
      <c r="T13" s="88"/>
    </row>
    <row r="14" spans="1:22" s="6" customFormat="1" ht="13.15" customHeight="1">
      <c r="A14" s="8" t="s">
        <v>98</v>
      </c>
      <c r="B14" s="39" t="s">
        <v>97</v>
      </c>
      <c r="C14" s="40">
        <f>163447209+403435318+267558220+1921206164+5626687550+237704858+1110000000</f>
        <v>9730039319</v>
      </c>
      <c r="D14" s="40">
        <v>0</v>
      </c>
      <c r="E14" s="40">
        <v>0</v>
      </c>
      <c r="F14" s="40">
        <f>+C14+D14-E14</f>
        <v>9730039319</v>
      </c>
      <c r="G14" s="40">
        <f>23498644+3791281147</f>
        <v>3814779791</v>
      </c>
      <c r="H14" s="135">
        <f>+G14/F14</f>
        <v>0.39206211464642488</v>
      </c>
      <c r="I14" s="146"/>
      <c r="J14" s="40"/>
      <c r="K14" s="40"/>
      <c r="L14" s="34"/>
      <c r="M14" s="40"/>
      <c r="N14" s="150"/>
      <c r="O14" s="26">
        <f>+L14+F14</f>
        <v>9730039319</v>
      </c>
      <c r="P14" s="29">
        <f>+G14+M14</f>
        <v>3814779791</v>
      </c>
      <c r="Q14" s="29">
        <f>+O14-P14</f>
        <v>5915259528</v>
      </c>
      <c r="R14" s="135">
        <f>+P14/O14</f>
        <v>0.39206211464642488</v>
      </c>
    </row>
    <row r="15" spans="1:22" s="6" customFormat="1" ht="13.15" customHeight="1">
      <c r="A15" s="8"/>
      <c r="B15" s="39"/>
      <c r="C15" s="40"/>
      <c r="D15" s="40"/>
      <c r="E15" s="40"/>
      <c r="F15" s="33"/>
      <c r="G15" s="40"/>
      <c r="H15" s="131"/>
      <c r="I15" s="146"/>
      <c r="J15" s="40"/>
      <c r="K15" s="40"/>
      <c r="L15" s="33"/>
      <c r="M15" s="40"/>
      <c r="N15" s="131"/>
      <c r="O15" s="26"/>
      <c r="P15" s="29"/>
      <c r="Q15" s="29"/>
      <c r="R15" s="133"/>
    </row>
    <row r="16" spans="1:22" s="6" customFormat="1" ht="13.15" customHeight="1">
      <c r="A16" s="90" t="s">
        <v>94</v>
      </c>
      <c r="B16" s="36" t="s">
        <v>91</v>
      </c>
      <c r="C16" s="33">
        <f>C17</f>
        <v>0</v>
      </c>
      <c r="D16" s="40"/>
      <c r="E16" s="40"/>
      <c r="F16" s="33"/>
      <c r="G16" s="40"/>
      <c r="H16" s="131"/>
      <c r="I16" s="144">
        <f t="shared" ref="I16:O16" si="0">+I17</f>
        <v>65600000</v>
      </c>
      <c r="J16" s="33">
        <f t="shared" si="0"/>
        <v>0</v>
      </c>
      <c r="K16" s="33">
        <f t="shared" si="0"/>
        <v>0</v>
      </c>
      <c r="L16" s="33">
        <f t="shared" si="0"/>
        <v>65600000</v>
      </c>
      <c r="M16" s="33">
        <f t="shared" si="0"/>
        <v>0</v>
      </c>
      <c r="N16" s="149">
        <f>+M16/L16</f>
        <v>0</v>
      </c>
      <c r="O16" s="145">
        <f t="shared" si="0"/>
        <v>65600000</v>
      </c>
      <c r="P16" s="37">
        <f>++P17</f>
        <v>0</v>
      </c>
      <c r="Q16" s="37">
        <f>+Q17</f>
        <v>65600000</v>
      </c>
      <c r="R16" s="136">
        <f>+P16/O16</f>
        <v>0</v>
      </c>
    </row>
    <row r="17" spans="1:21" s="6" customFormat="1" ht="13.15" customHeight="1">
      <c r="A17" s="90" t="s">
        <v>95</v>
      </c>
      <c r="B17" s="39" t="s">
        <v>96</v>
      </c>
      <c r="C17" s="40"/>
      <c r="D17" s="40"/>
      <c r="E17" s="40"/>
      <c r="F17" s="33"/>
      <c r="G17" s="40"/>
      <c r="H17" s="131"/>
      <c r="I17" s="146">
        <v>65600000</v>
      </c>
      <c r="J17" s="40">
        <v>0</v>
      </c>
      <c r="K17" s="40">
        <v>0</v>
      </c>
      <c r="L17" s="34">
        <f>+I17+J17-K17</f>
        <v>65600000</v>
      </c>
      <c r="M17" s="40">
        <v>0</v>
      </c>
      <c r="N17" s="150">
        <f>+M17/L17</f>
        <v>0</v>
      </c>
      <c r="O17" s="26">
        <f>+L17+F17</f>
        <v>65600000</v>
      </c>
      <c r="P17" s="29">
        <f>+G17+M17</f>
        <v>0</v>
      </c>
      <c r="Q17" s="29">
        <f>+O17-P17</f>
        <v>65600000</v>
      </c>
      <c r="R17" s="135">
        <f>+P17/O17</f>
        <v>0</v>
      </c>
    </row>
    <row r="18" spans="1:21" s="6" customFormat="1" ht="10.9" customHeight="1">
      <c r="A18" s="8"/>
      <c r="B18" s="39"/>
      <c r="C18" s="40"/>
      <c r="D18" s="40"/>
      <c r="E18" s="40"/>
      <c r="F18" s="40"/>
      <c r="G18" s="40"/>
      <c r="H18" s="131"/>
      <c r="I18" s="146"/>
      <c r="J18" s="40"/>
      <c r="K18" s="40"/>
      <c r="L18" s="40"/>
      <c r="M18" s="40"/>
      <c r="N18" s="131"/>
      <c r="O18" s="26"/>
      <c r="P18" s="29"/>
      <c r="Q18" s="29"/>
      <c r="R18" s="133"/>
    </row>
    <row r="19" spans="1:21" s="6" customFormat="1" ht="12">
      <c r="A19" s="7" t="s">
        <v>99</v>
      </c>
      <c r="B19" s="36" t="s">
        <v>100</v>
      </c>
      <c r="C19" s="37">
        <f>SUM(C20:C23)</f>
        <v>1502952140</v>
      </c>
      <c r="D19" s="37">
        <f>SUM(D20:D23)</f>
        <v>0</v>
      </c>
      <c r="E19" s="37">
        <f>SUM(E20:E23)</f>
        <v>0</v>
      </c>
      <c r="F19" s="37">
        <f>SUM(F20:F23)</f>
        <v>1502952140</v>
      </c>
      <c r="G19" s="37">
        <f>SUM(G20:G23)</f>
        <v>49759257</v>
      </c>
      <c r="H19" s="136">
        <f>+G19/F19</f>
        <v>3.3107678997682521E-2</v>
      </c>
      <c r="I19" s="145"/>
      <c r="J19" s="37"/>
      <c r="K19" s="37"/>
      <c r="L19" s="37"/>
      <c r="M19" s="37"/>
      <c r="N19" s="149"/>
      <c r="O19" s="145">
        <f>SUM(O20:O23)</f>
        <v>1502952140</v>
      </c>
      <c r="P19" s="37">
        <f>SUM(P20:P23)</f>
        <v>49759257</v>
      </c>
      <c r="Q19" s="37">
        <f>SUM(Q20:Q23)</f>
        <v>1453192883</v>
      </c>
      <c r="R19" s="136">
        <f>+P19/O19</f>
        <v>3.3107678997682521E-2</v>
      </c>
      <c r="S19" s="5"/>
      <c r="T19" s="5"/>
      <c r="U19" s="5"/>
    </row>
    <row r="20" spans="1:21" s="6" customFormat="1" ht="15" customHeight="1">
      <c r="A20" s="8" t="s">
        <v>102</v>
      </c>
      <c r="B20" s="39" t="s">
        <v>101</v>
      </c>
      <c r="C20" s="40">
        <f>22376949</f>
        <v>22376949</v>
      </c>
      <c r="D20" s="40">
        <v>0</v>
      </c>
      <c r="E20" s="40">
        <v>0</v>
      </c>
      <c r="F20" s="40">
        <f>+C20+D20-E20</f>
        <v>22376949</v>
      </c>
      <c r="G20" s="40">
        <v>22376949</v>
      </c>
      <c r="H20" s="135">
        <f>+G20/F20</f>
        <v>1</v>
      </c>
      <c r="I20" s="146"/>
      <c r="J20" s="40"/>
      <c r="K20" s="40"/>
      <c r="L20" s="34"/>
      <c r="M20" s="40"/>
      <c r="N20" s="150"/>
      <c r="O20" s="26">
        <f>+L20+F20</f>
        <v>22376949</v>
      </c>
      <c r="P20" s="29">
        <f>+G20+M20</f>
        <v>22376949</v>
      </c>
      <c r="Q20" s="29">
        <f>+O20-P20</f>
        <v>0</v>
      </c>
      <c r="R20" s="135">
        <f>+P20/O20</f>
        <v>1</v>
      </c>
    </row>
    <row r="21" spans="1:21" s="6" customFormat="1" ht="15" customHeight="1">
      <c r="A21" s="8" t="s">
        <v>103</v>
      </c>
      <c r="B21" s="39" t="s">
        <v>104</v>
      </c>
      <c r="C21" s="40">
        <f>1112279175</f>
        <v>1112279175</v>
      </c>
      <c r="D21" s="40">
        <v>0</v>
      </c>
      <c r="E21" s="40">
        <v>0</v>
      </c>
      <c r="F21" s="40">
        <f>+C21+D21-E21</f>
        <v>1112279175</v>
      </c>
      <c r="G21" s="40">
        <v>17756091</v>
      </c>
      <c r="H21" s="135">
        <f>+G21/F21</f>
        <v>1.5963699940709581E-2</v>
      </c>
      <c r="I21" s="146"/>
      <c r="J21" s="40"/>
      <c r="K21" s="40"/>
      <c r="L21" s="40"/>
      <c r="M21" s="40"/>
      <c r="N21" s="150"/>
      <c r="O21" s="26">
        <f>+L21+F21</f>
        <v>1112279175</v>
      </c>
      <c r="P21" s="29">
        <f>+G21+M21</f>
        <v>17756091</v>
      </c>
      <c r="Q21" s="29">
        <f>+O21-P21</f>
        <v>1094523084</v>
      </c>
      <c r="R21" s="135">
        <f>+P21/O21</f>
        <v>1.5963699940709581E-2</v>
      </c>
    </row>
    <row r="22" spans="1:21" s="6" customFormat="1" ht="13.15" customHeight="1">
      <c r="A22" s="8" t="s">
        <v>112</v>
      </c>
      <c r="B22" s="39" t="s">
        <v>105</v>
      </c>
      <c r="C22" s="40">
        <f>21840006+41200000+41200000</f>
        <v>104240006</v>
      </c>
      <c r="D22" s="40">
        <v>0</v>
      </c>
      <c r="E22" s="40">
        <v>0</v>
      </c>
      <c r="F22" s="40">
        <f>+C22+D22-E22</f>
        <v>104240006</v>
      </c>
      <c r="G22" s="40">
        <v>9626217</v>
      </c>
      <c r="H22" s="135">
        <f>+G22/F22</f>
        <v>9.2346665828089078E-2</v>
      </c>
      <c r="I22" s="146"/>
      <c r="J22" s="40"/>
      <c r="K22" s="40"/>
      <c r="L22" s="34"/>
      <c r="M22" s="40"/>
      <c r="N22" s="150"/>
      <c r="O22" s="26">
        <f>+L22+F22</f>
        <v>104240006</v>
      </c>
      <c r="P22" s="29">
        <f>+G22+M22</f>
        <v>9626217</v>
      </c>
      <c r="Q22" s="29">
        <f>+O22-P22</f>
        <v>94613789</v>
      </c>
      <c r="R22" s="135">
        <f>+P22/O22</f>
        <v>9.2346665828089078E-2</v>
      </c>
    </row>
    <row r="23" spans="1:21" s="6" customFormat="1" ht="12">
      <c r="A23" s="8" t="s">
        <v>113</v>
      </c>
      <c r="B23" s="39" t="s">
        <v>7</v>
      </c>
      <c r="C23" s="124">
        <f>200000000+64056010</f>
        <v>264056010</v>
      </c>
      <c r="D23" s="40">
        <v>0</v>
      </c>
      <c r="E23" s="40">
        <v>0</v>
      </c>
      <c r="F23" s="40">
        <f>+C23+D23-E23</f>
        <v>264056010</v>
      </c>
      <c r="G23" s="40">
        <v>0</v>
      </c>
      <c r="H23" s="131"/>
      <c r="I23" s="146"/>
      <c r="J23" s="40"/>
      <c r="K23" s="40"/>
      <c r="L23" s="34"/>
      <c r="M23" s="40"/>
      <c r="N23" s="131"/>
      <c r="O23" s="26">
        <f>+L23+F23</f>
        <v>264056010</v>
      </c>
      <c r="P23" s="29">
        <f>+G23+M23</f>
        <v>0</v>
      </c>
      <c r="Q23" s="29">
        <f>+O23-P23</f>
        <v>264056010</v>
      </c>
      <c r="R23" s="135">
        <f>+P23/O23</f>
        <v>0</v>
      </c>
    </row>
    <row r="24" spans="1:21" s="6" customFormat="1" ht="12">
      <c r="A24" s="8"/>
      <c r="B24" s="36"/>
      <c r="C24" s="40"/>
      <c r="D24" s="40"/>
      <c r="E24" s="40"/>
      <c r="F24" s="40"/>
      <c r="G24" s="40" t="s">
        <v>23</v>
      </c>
      <c r="H24" s="131"/>
      <c r="I24" s="146"/>
      <c r="J24" s="40"/>
      <c r="K24" s="40"/>
      <c r="L24" s="34"/>
      <c r="M24" s="40"/>
      <c r="N24" s="131"/>
      <c r="O24" s="26"/>
      <c r="P24" s="29"/>
      <c r="Q24" s="29"/>
      <c r="R24" s="133"/>
    </row>
    <row r="25" spans="1:21" s="6" customFormat="1" ht="12" customHeight="1">
      <c r="A25" s="7" t="s">
        <v>106</v>
      </c>
      <c r="B25" s="36" t="s">
        <v>107</v>
      </c>
      <c r="C25" s="33">
        <f>SUM(C26:C27)</f>
        <v>215334803</v>
      </c>
      <c r="D25" s="33">
        <f t="shared" ref="D25:P25" si="1">SUM(D26:D27)</f>
        <v>0</v>
      </c>
      <c r="E25" s="33">
        <f t="shared" si="1"/>
        <v>0</v>
      </c>
      <c r="F25" s="33">
        <f t="shared" si="1"/>
        <v>215334803</v>
      </c>
      <c r="G25" s="33">
        <f t="shared" si="1"/>
        <v>0</v>
      </c>
      <c r="H25" s="136">
        <f>+G25/F25</f>
        <v>0</v>
      </c>
      <c r="I25" s="146"/>
      <c r="J25" s="40"/>
      <c r="K25" s="40"/>
      <c r="L25" s="40"/>
      <c r="M25" s="40"/>
      <c r="N25" s="149"/>
      <c r="O25" s="144">
        <f>SUM(O26:O27)</f>
        <v>215334803</v>
      </c>
      <c r="P25" s="33">
        <f t="shared" si="1"/>
        <v>0</v>
      </c>
      <c r="Q25" s="33">
        <f>SUM(Q26:Q27)</f>
        <v>215334803</v>
      </c>
      <c r="R25" s="136">
        <f>+P25/O25</f>
        <v>0</v>
      </c>
    </row>
    <row r="26" spans="1:21" s="6" customFormat="1" ht="12" customHeight="1">
      <c r="A26" s="8" t="s">
        <v>110</v>
      </c>
      <c r="B26" s="39" t="s">
        <v>108</v>
      </c>
      <c r="C26" s="40">
        <f>4621514+27961289</f>
        <v>32582803</v>
      </c>
      <c r="D26" s="40">
        <v>0</v>
      </c>
      <c r="E26" s="40">
        <v>0</v>
      </c>
      <c r="F26" s="40">
        <f>+C26+D26-E26</f>
        <v>32582803</v>
      </c>
      <c r="G26" s="40">
        <v>0</v>
      </c>
      <c r="H26" s="135">
        <f>+G26/F26</f>
        <v>0</v>
      </c>
      <c r="I26" s="146"/>
      <c r="J26" s="40"/>
      <c r="K26" s="40"/>
      <c r="L26" s="40"/>
      <c r="M26" s="40"/>
      <c r="N26" s="150"/>
      <c r="O26" s="26">
        <f>+L26+F26</f>
        <v>32582803</v>
      </c>
      <c r="P26" s="29">
        <f>+G26+M26</f>
        <v>0</v>
      </c>
      <c r="Q26" s="29">
        <f>+O26-P26</f>
        <v>32582803</v>
      </c>
      <c r="R26" s="135">
        <f>+P26/O26</f>
        <v>0</v>
      </c>
    </row>
    <row r="27" spans="1:21" s="6" customFormat="1" ht="12" customHeight="1">
      <c r="A27" s="8" t="s">
        <v>111</v>
      </c>
      <c r="B27" s="39" t="s">
        <v>109</v>
      </c>
      <c r="C27" s="40">
        <f>182752000</f>
        <v>182752000</v>
      </c>
      <c r="D27" s="40">
        <v>0</v>
      </c>
      <c r="E27" s="40">
        <v>0</v>
      </c>
      <c r="F27" s="40">
        <f>+C27+D27-E27</f>
        <v>182752000</v>
      </c>
      <c r="G27" s="40">
        <v>0</v>
      </c>
      <c r="H27" s="131"/>
      <c r="I27" s="146"/>
      <c r="J27" s="40"/>
      <c r="K27" s="40"/>
      <c r="L27" s="40"/>
      <c r="M27" s="40"/>
      <c r="N27" s="131"/>
      <c r="O27" s="26">
        <f>+L27+F27</f>
        <v>182752000</v>
      </c>
      <c r="P27" s="29">
        <f>+G27+M27</f>
        <v>0</v>
      </c>
      <c r="Q27" s="29">
        <f>+O27-P27</f>
        <v>182752000</v>
      </c>
      <c r="R27" s="135">
        <f>+P27/O27</f>
        <v>0</v>
      </c>
    </row>
    <row r="28" spans="1:21" s="6" customFormat="1" ht="12" customHeight="1">
      <c r="A28" s="8"/>
      <c r="B28" s="39"/>
      <c r="C28" s="40"/>
      <c r="D28" s="40"/>
      <c r="E28" s="40"/>
      <c r="F28" s="40"/>
      <c r="G28" s="40"/>
      <c r="H28" s="131"/>
      <c r="I28" s="146"/>
      <c r="J28" s="40"/>
      <c r="K28" s="40"/>
      <c r="L28" s="40"/>
      <c r="M28" s="40"/>
      <c r="N28" s="131"/>
      <c r="O28" s="26"/>
      <c r="P28" s="29"/>
      <c r="Q28" s="29"/>
      <c r="R28" s="135"/>
    </row>
    <row r="29" spans="1:21" s="6" customFormat="1" ht="12" customHeight="1">
      <c r="A29" s="7" t="s">
        <v>272</v>
      </c>
      <c r="B29" s="36" t="s">
        <v>239</v>
      </c>
      <c r="C29" s="33">
        <f>+C30</f>
        <v>2682888000</v>
      </c>
      <c r="D29" s="33">
        <f t="shared" ref="D29:G29" si="2">+D30</f>
        <v>0</v>
      </c>
      <c r="E29" s="33">
        <f t="shared" si="2"/>
        <v>0</v>
      </c>
      <c r="F29" s="33">
        <f t="shared" si="2"/>
        <v>2682888000</v>
      </c>
      <c r="G29" s="33">
        <f t="shared" si="2"/>
        <v>0</v>
      </c>
      <c r="H29" s="136">
        <f>+G29/F29</f>
        <v>0</v>
      </c>
      <c r="I29" s="146"/>
      <c r="J29" s="40"/>
      <c r="K29" s="40"/>
      <c r="L29" s="40"/>
      <c r="M29" s="40"/>
      <c r="N29" s="149"/>
      <c r="O29" s="144">
        <f>+O30</f>
        <v>2682888000</v>
      </c>
      <c r="P29" s="144">
        <f t="shared" ref="P29:Q29" si="3">+P30</f>
        <v>0</v>
      </c>
      <c r="Q29" s="144">
        <f t="shared" si="3"/>
        <v>2682888000</v>
      </c>
      <c r="R29" s="136">
        <f>+P29/O29</f>
        <v>0</v>
      </c>
    </row>
    <row r="30" spans="1:21" s="6" customFormat="1" ht="12" customHeight="1">
      <c r="A30" s="8" t="s">
        <v>273</v>
      </c>
      <c r="B30" s="39" t="s">
        <v>240</v>
      </c>
      <c r="C30" s="40">
        <v>2682888000</v>
      </c>
      <c r="D30" s="40">
        <v>0</v>
      </c>
      <c r="E30" s="40">
        <v>0</v>
      </c>
      <c r="F30" s="40">
        <f>+C30+D30-E30</f>
        <v>2682888000</v>
      </c>
      <c r="G30" s="40">
        <v>0</v>
      </c>
      <c r="H30" s="135">
        <f>+G30/F30</f>
        <v>0</v>
      </c>
      <c r="I30" s="146"/>
      <c r="J30" s="40"/>
      <c r="K30" s="40"/>
      <c r="L30" s="40"/>
      <c r="M30" s="40"/>
      <c r="N30" s="150"/>
      <c r="O30" s="26">
        <f>+L30+F30</f>
        <v>2682888000</v>
      </c>
      <c r="P30" s="29">
        <f>+G30+M30</f>
        <v>0</v>
      </c>
      <c r="Q30" s="29">
        <f>+O30-P30</f>
        <v>2682888000</v>
      </c>
      <c r="R30" s="135">
        <f>+P30/O30</f>
        <v>0</v>
      </c>
    </row>
    <row r="31" spans="1:21" s="6" customFormat="1" ht="12" customHeight="1">
      <c r="A31" s="8"/>
      <c r="B31" s="39"/>
      <c r="C31" s="40"/>
      <c r="D31" s="40"/>
      <c r="E31" s="40"/>
      <c r="F31" s="40"/>
      <c r="G31" s="40"/>
      <c r="H31" s="131"/>
      <c r="I31" s="146"/>
      <c r="J31" s="40"/>
      <c r="K31" s="40"/>
      <c r="L31" s="40"/>
      <c r="M31" s="40"/>
      <c r="N31" s="131"/>
      <c r="O31" s="26"/>
      <c r="P31" s="29"/>
      <c r="Q31" s="29"/>
      <c r="R31" s="135"/>
    </row>
    <row r="32" spans="1:21" s="6" customFormat="1" ht="12" customHeight="1">
      <c r="A32" s="8"/>
      <c r="B32" s="39"/>
      <c r="C32" s="40"/>
      <c r="D32" s="40"/>
      <c r="E32" s="40"/>
      <c r="F32" s="40"/>
      <c r="G32" s="40"/>
      <c r="H32" s="131"/>
      <c r="I32" s="146"/>
      <c r="J32" s="40"/>
      <c r="K32" s="40"/>
      <c r="L32" s="40"/>
      <c r="M32" s="40"/>
      <c r="N32" s="131"/>
      <c r="O32" s="26"/>
      <c r="P32" s="29"/>
      <c r="Q32" s="29"/>
      <c r="R32" s="133"/>
    </row>
    <row r="33" spans="1:21" s="6" customFormat="1" ht="12" customHeight="1">
      <c r="A33" s="90" t="s">
        <v>114</v>
      </c>
      <c r="B33" s="36" t="s">
        <v>107</v>
      </c>
      <c r="C33" s="33">
        <f>SUM(C34:C35)</f>
        <v>0</v>
      </c>
      <c r="D33" s="40">
        <f t="shared" ref="D33:P33" si="4">SUM(D34:D35)</f>
        <v>0</v>
      </c>
      <c r="E33" s="40">
        <f t="shared" si="4"/>
        <v>0</v>
      </c>
      <c r="F33" s="33">
        <f t="shared" si="4"/>
        <v>0</v>
      </c>
      <c r="G33" s="33">
        <f t="shared" si="4"/>
        <v>0</v>
      </c>
      <c r="H33" s="131"/>
      <c r="I33" s="144">
        <f t="shared" si="4"/>
        <v>18800000</v>
      </c>
      <c r="J33" s="40">
        <f t="shared" si="4"/>
        <v>0</v>
      </c>
      <c r="K33" s="40">
        <f t="shared" si="4"/>
        <v>0</v>
      </c>
      <c r="L33" s="33">
        <f t="shared" si="4"/>
        <v>18800000</v>
      </c>
      <c r="M33" s="33">
        <f t="shared" si="4"/>
        <v>0</v>
      </c>
      <c r="N33" s="149">
        <f>+M33/L33</f>
        <v>0</v>
      </c>
      <c r="O33" s="144">
        <f>SUM(O34:O35)</f>
        <v>18800000</v>
      </c>
      <c r="P33" s="33">
        <f t="shared" si="4"/>
        <v>0</v>
      </c>
      <c r="Q33" s="33">
        <f>SUM(Q34:Q35)</f>
        <v>18800000</v>
      </c>
      <c r="R33" s="136">
        <f>+P33/O33</f>
        <v>0</v>
      </c>
    </row>
    <row r="34" spans="1:21" s="6" customFormat="1" ht="12" customHeight="1">
      <c r="A34" s="91" t="s">
        <v>115</v>
      </c>
      <c r="B34" s="39" t="s">
        <v>108</v>
      </c>
      <c r="C34" s="40">
        <v>0</v>
      </c>
      <c r="D34" s="40">
        <v>0</v>
      </c>
      <c r="E34" s="40">
        <v>0</v>
      </c>
      <c r="F34" s="40">
        <f>+C34+D34-E34</f>
        <v>0</v>
      </c>
      <c r="G34" s="40"/>
      <c r="H34" s="131"/>
      <c r="I34" s="146">
        <f>3000000</f>
        <v>3000000</v>
      </c>
      <c r="J34" s="40">
        <v>0</v>
      </c>
      <c r="K34" s="40">
        <v>0</v>
      </c>
      <c r="L34" s="92">
        <f>+J34+I34-J34</f>
        <v>3000000</v>
      </c>
      <c r="M34" s="40">
        <v>0</v>
      </c>
      <c r="N34" s="150">
        <f>+M34/L34</f>
        <v>0</v>
      </c>
      <c r="O34" s="26">
        <f>+L34+F34</f>
        <v>3000000</v>
      </c>
      <c r="P34" s="29">
        <f>+G34+M34</f>
        <v>0</v>
      </c>
      <c r="Q34" s="29">
        <f>+O34-P34</f>
        <v>3000000</v>
      </c>
      <c r="R34" s="135">
        <f>+P34/O34</f>
        <v>0</v>
      </c>
    </row>
    <row r="35" spans="1:21" s="6" customFormat="1" ht="12" customHeight="1">
      <c r="A35" s="91" t="s">
        <v>116</v>
      </c>
      <c r="B35" s="39" t="s">
        <v>117</v>
      </c>
      <c r="C35" s="40">
        <v>0</v>
      </c>
      <c r="D35" s="40">
        <v>0</v>
      </c>
      <c r="E35" s="40">
        <v>0</v>
      </c>
      <c r="F35" s="40">
        <f>+C35+D35-E35</f>
        <v>0</v>
      </c>
      <c r="G35" s="40"/>
      <c r="H35" s="131"/>
      <c r="I35" s="146">
        <f>15800000</f>
        <v>15800000</v>
      </c>
      <c r="J35" s="40">
        <v>0</v>
      </c>
      <c r="K35" s="40">
        <v>0</v>
      </c>
      <c r="L35" s="92">
        <f>+J35+I35-J35</f>
        <v>15800000</v>
      </c>
      <c r="M35" s="40">
        <v>0</v>
      </c>
      <c r="N35" s="150">
        <f>+M35/L35</f>
        <v>0</v>
      </c>
      <c r="O35" s="26">
        <f>+L35+F35</f>
        <v>15800000</v>
      </c>
      <c r="P35" s="29">
        <f>+G35+M35</f>
        <v>0</v>
      </c>
      <c r="Q35" s="29">
        <f>+O35-P35</f>
        <v>15800000</v>
      </c>
      <c r="R35" s="135">
        <f>+P35/O35</f>
        <v>0</v>
      </c>
    </row>
    <row r="36" spans="1:21" s="6" customFormat="1" ht="12" customHeight="1">
      <c r="A36" s="91"/>
      <c r="B36" s="39"/>
      <c r="C36" s="40"/>
      <c r="D36" s="40"/>
      <c r="E36" s="40"/>
      <c r="F36" s="40"/>
      <c r="G36" s="40"/>
      <c r="H36" s="131"/>
      <c r="I36" s="146"/>
      <c r="J36" s="40"/>
      <c r="K36" s="40"/>
      <c r="L36" s="92"/>
      <c r="M36" s="40"/>
      <c r="N36" s="150"/>
      <c r="O36" s="26"/>
      <c r="P36" s="29"/>
      <c r="Q36" s="29"/>
      <c r="R36" s="135"/>
    </row>
    <row r="37" spans="1:21" s="6" customFormat="1" ht="12" customHeight="1">
      <c r="A37" s="90" t="s">
        <v>235</v>
      </c>
      <c r="B37" s="36" t="s">
        <v>237</v>
      </c>
      <c r="C37" s="33">
        <f>SUM(C38:C39)</f>
        <v>0</v>
      </c>
      <c r="D37" s="40">
        <f t="shared" ref="D37:G37" si="5">SUM(D38:D39)</f>
        <v>0</v>
      </c>
      <c r="E37" s="40">
        <f t="shared" si="5"/>
        <v>0</v>
      </c>
      <c r="F37" s="33">
        <f t="shared" si="5"/>
        <v>0</v>
      </c>
      <c r="G37" s="33">
        <f t="shared" si="5"/>
        <v>0</v>
      </c>
      <c r="H37" s="131"/>
      <c r="I37" s="144">
        <f t="shared" ref="I37:M37" si="6">SUM(I38:I39)</f>
        <v>7271340</v>
      </c>
      <c r="J37" s="40">
        <f t="shared" si="6"/>
        <v>0</v>
      </c>
      <c r="K37" s="40">
        <f t="shared" si="6"/>
        <v>0</v>
      </c>
      <c r="L37" s="33">
        <f t="shared" si="6"/>
        <v>7271340</v>
      </c>
      <c r="M37" s="33">
        <f t="shared" si="6"/>
        <v>0</v>
      </c>
      <c r="N37" s="149">
        <f>+M37/L37</f>
        <v>0</v>
      </c>
      <c r="O37" s="144">
        <f>SUM(O38:O39)</f>
        <v>7271340</v>
      </c>
      <c r="P37" s="33">
        <f t="shared" ref="P37" si="7">SUM(P38:P39)</f>
        <v>0</v>
      </c>
      <c r="Q37" s="33">
        <f>SUM(Q38:Q39)</f>
        <v>7271340</v>
      </c>
      <c r="R37" s="136">
        <f>+P37/O37</f>
        <v>0</v>
      </c>
    </row>
    <row r="38" spans="1:21" s="6" customFormat="1" ht="12" customHeight="1">
      <c r="A38" s="91" t="s">
        <v>236</v>
      </c>
      <c r="B38" s="39" t="s">
        <v>238</v>
      </c>
      <c r="C38" s="40">
        <v>0</v>
      </c>
      <c r="D38" s="40">
        <v>0</v>
      </c>
      <c r="E38" s="40">
        <v>0</v>
      </c>
      <c r="F38" s="40">
        <f>+C38+D38-E38</f>
        <v>0</v>
      </c>
      <c r="G38" s="40">
        <v>0</v>
      </c>
      <c r="H38" s="131"/>
      <c r="I38" s="146">
        <v>7271340</v>
      </c>
      <c r="J38" s="40">
        <v>0</v>
      </c>
      <c r="K38" s="40">
        <v>0</v>
      </c>
      <c r="L38" s="92">
        <f>+J38+I38-J38</f>
        <v>7271340</v>
      </c>
      <c r="M38" s="40">
        <v>0</v>
      </c>
      <c r="N38" s="150">
        <f>+M38/L38</f>
        <v>0</v>
      </c>
      <c r="O38" s="26">
        <f>+L38+F38</f>
        <v>7271340</v>
      </c>
      <c r="P38" s="29">
        <f>+G38+M38</f>
        <v>0</v>
      </c>
      <c r="Q38" s="29">
        <f>+O38-P38</f>
        <v>7271340</v>
      </c>
      <c r="R38" s="135">
        <f>+P38/O38</f>
        <v>0</v>
      </c>
    </row>
    <row r="39" spans="1:21" s="6" customFormat="1" ht="12">
      <c r="A39" s="8"/>
      <c r="B39" s="38"/>
      <c r="C39" s="40"/>
      <c r="D39" s="40"/>
      <c r="E39" s="40"/>
      <c r="F39" s="40"/>
      <c r="G39" s="40"/>
      <c r="H39" s="131"/>
      <c r="I39" s="146"/>
      <c r="J39" s="40"/>
      <c r="K39" s="40"/>
      <c r="L39" s="40"/>
      <c r="M39" s="40"/>
      <c r="N39" s="131"/>
      <c r="O39" s="26"/>
      <c r="P39" s="29"/>
      <c r="Q39" s="29">
        <f>+O39-P39</f>
        <v>0</v>
      </c>
      <c r="R39" s="135"/>
      <c r="S39" s="5"/>
      <c r="T39" s="5"/>
      <c r="U39" s="5"/>
    </row>
    <row r="40" spans="1:21" ht="18.600000000000001" customHeight="1">
      <c r="A40" s="16"/>
      <c r="B40" s="41" t="s">
        <v>8</v>
      </c>
      <c r="C40" s="42">
        <f>+C8+C9+C10+C12+C16+C19+C25+C29+C33+C37</f>
        <v>19759561588</v>
      </c>
      <c r="D40" s="42">
        <f t="shared" ref="D40:Q40" si="8">+D8+D9+D10+D12+D16+D19+D25+D29+D33+D37</f>
        <v>0</v>
      </c>
      <c r="E40" s="42">
        <f t="shared" si="8"/>
        <v>0</v>
      </c>
      <c r="F40" s="42">
        <f t="shared" si="8"/>
        <v>19759561588</v>
      </c>
      <c r="G40" s="42">
        <f t="shared" si="8"/>
        <v>4207179746</v>
      </c>
      <c r="H40" s="138">
        <f>+G40/F40</f>
        <v>0.21291867875019171</v>
      </c>
      <c r="I40" s="42">
        <f t="shared" si="8"/>
        <v>4898571340</v>
      </c>
      <c r="J40" s="42">
        <f t="shared" si="8"/>
        <v>0</v>
      </c>
      <c r="K40" s="42">
        <f t="shared" si="8"/>
        <v>0</v>
      </c>
      <c r="L40" s="42">
        <f t="shared" si="8"/>
        <v>4898571340</v>
      </c>
      <c r="M40" s="42">
        <f t="shared" si="8"/>
        <v>839211244</v>
      </c>
      <c r="N40" s="151">
        <f>+M40/L40</f>
        <v>0.17131755072081895</v>
      </c>
      <c r="O40" s="42">
        <f t="shared" si="8"/>
        <v>24658132928</v>
      </c>
      <c r="P40" s="42">
        <f t="shared" si="8"/>
        <v>5046390990</v>
      </c>
      <c r="Q40" s="42">
        <f t="shared" si="8"/>
        <v>19611741938</v>
      </c>
      <c r="R40" s="140">
        <f>+P40/O40</f>
        <v>0.20465422117461626</v>
      </c>
    </row>
    <row r="41" spans="1:21" s="6" customFormat="1" ht="12">
      <c r="A41" s="9"/>
      <c r="B41" s="39"/>
      <c r="C41" s="29"/>
      <c r="D41" s="29"/>
      <c r="E41" s="29"/>
      <c r="F41" s="29"/>
      <c r="G41" s="29"/>
      <c r="H41" s="30"/>
      <c r="I41" s="26"/>
      <c r="J41" s="29"/>
      <c r="K41" s="29"/>
      <c r="L41" s="29"/>
      <c r="M41" s="29"/>
      <c r="N41" s="30"/>
      <c r="O41" s="26"/>
      <c r="P41" s="29"/>
      <c r="Q41" s="29"/>
      <c r="R41" s="133"/>
    </row>
    <row r="42" spans="1:21" s="6" customFormat="1" ht="12">
      <c r="A42" s="9"/>
      <c r="B42" s="39"/>
      <c r="C42" s="29"/>
      <c r="D42" s="29"/>
      <c r="E42" s="29"/>
      <c r="F42" s="29"/>
      <c r="G42" s="29"/>
      <c r="H42" s="30"/>
      <c r="I42" s="26"/>
      <c r="J42" s="29"/>
      <c r="K42" s="29"/>
      <c r="L42" s="29"/>
      <c r="M42" s="29"/>
      <c r="N42" s="30"/>
      <c r="O42" s="26"/>
      <c r="P42" s="29"/>
      <c r="Q42" s="29"/>
      <c r="R42" s="133"/>
    </row>
    <row r="43" spans="1:21" s="15" customFormat="1" ht="19.149999999999999" customHeight="1">
      <c r="A43" s="19"/>
      <c r="B43" s="43" t="s">
        <v>226</v>
      </c>
      <c r="C43" s="44">
        <f>+C46</f>
        <v>77026157001</v>
      </c>
      <c r="D43" s="44">
        <f>+D46</f>
        <v>0</v>
      </c>
      <c r="E43" s="44">
        <f>+E46</f>
        <v>0</v>
      </c>
      <c r="F43" s="44">
        <f>+F46</f>
        <v>77026157001</v>
      </c>
      <c r="G43" s="44">
        <f>+G46</f>
        <v>20521982785</v>
      </c>
      <c r="H43" s="139">
        <f>+G43/F43</f>
        <v>0.26642875075195005</v>
      </c>
      <c r="I43" s="147">
        <f>+I46</f>
        <v>0</v>
      </c>
      <c r="J43" s="44">
        <f>+J46</f>
        <v>0</v>
      </c>
      <c r="K43" s="44">
        <f>+K46</f>
        <v>0</v>
      </c>
      <c r="L43" s="44">
        <f>+L46</f>
        <v>0</v>
      </c>
      <c r="M43" s="44">
        <f>+M46</f>
        <v>0</v>
      </c>
      <c r="N43" s="152"/>
      <c r="O43" s="147">
        <f>+O46</f>
        <v>77026157001</v>
      </c>
      <c r="P43" s="44">
        <f>+P46</f>
        <v>20521982785</v>
      </c>
      <c r="Q43" s="44">
        <f>+Q46</f>
        <v>56504174216</v>
      </c>
      <c r="R43" s="141">
        <f>+P43/O43</f>
        <v>0.26642875075195005</v>
      </c>
      <c r="U43" s="197">
        <f>G43-5994556589</f>
        <v>14527426196</v>
      </c>
    </row>
    <row r="44" spans="1:21" s="6" customFormat="1" ht="12">
      <c r="A44" s="9"/>
      <c r="B44" s="36"/>
      <c r="C44" s="29"/>
      <c r="D44" s="29"/>
      <c r="E44" s="29"/>
      <c r="F44" s="29"/>
      <c r="G44" s="29"/>
      <c r="H44" s="30"/>
      <c r="I44" s="26"/>
      <c r="J44" s="29"/>
      <c r="K44" s="29"/>
      <c r="L44" s="29"/>
      <c r="M44" s="29"/>
      <c r="N44" s="30"/>
      <c r="O44" s="26"/>
      <c r="P44" s="29"/>
      <c r="Q44" s="29"/>
      <c r="R44" s="133"/>
      <c r="S44" s="5"/>
      <c r="T44" s="5"/>
    </row>
    <row r="45" spans="1:21" s="25" customFormat="1" ht="12">
      <c r="A45" s="26"/>
      <c r="B45" s="29"/>
      <c r="C45" s="29"/>
      <c r="D45" s="29"/>
      <c r="E45" s="29"/>
      <c r="F45" s="29"/>
      <c r="G45" s="29"/>
      <c r="H45" s="30"/>
      <c r="I45" s="26"/>
      <c r="J45" s="29"/>
      <c r="K45" s="29"/>
      <c r="L45" s="29"/>
      <c r="M45" s="29"/>
      <c r="N45" s="30"/>
      <c r="O45" s="26"/>
      <c r="P45" s="29"/>
      <c r="Q45" s="29"/>
      <c r="R45" s="134"/>
      <c r="S45" s="5"/>
      <c r="T45" s="5"/>
    </row>
    <row r="46" spans="1:21" s="25" customFormat="1" ht="27" customHeight="1">
      <c r="A46" s="24"/>
      <c r="B46" s="45" t="s">
        <v>230</v>
      </c>
      <c r="C46" s="46">
        <f>+C48+C52+C60+C66+C70+C73+C79+C82+C84</f>
        <v>77026157001</v>
      </c>
      <c r="D46" s="46">
        <f>+D48+D52+D60+D66+D70+D73+D79+D82+D84</f>
        <v>0</v>
      </c>
      <c r="E46" s="46">
        <f>+E48+E52+E60+E66+E70+E73+E79+E82+E84</f>
        <v>0</v>
      </c>
      <c r="F46" s="46">
        <f>+F48+F52+F60+F66+F70+F73+F79+F82+F84</f>
        <v>77026157001</v>
      </c>
      <c r="G46" s="46">
        <f>+G48+G52+G60+G66+G70+G73+G79+G82+G84</f>
        <v>20521982785</v>
      </c>
      <c r="H46" s="139">
        <f>+G46/F46</f>
        <v>0.26642875075195005</v>
      </c>
      <c r="I46" s="148"/>
      <c r="J46" s="46"/>
      <c r="K46" s="46"/>
      <c r="L46" s="46">
        <f>+L48+L52+L60+L66+L70+L73+L79+L82+L84</f>
        <v>0</v>
      </c>
      <c r="M46" s="46">
        <f>+M48+M52+M60+M66+M70+M73+M79+M82+M84</f>
        <v>0</v>
      </c>
      <c r="N46" s="152"/>
      <c r="O46" s="46">
        <f>+O48+O52+O60+O66+O70+O73+O79+O82+O84</f>
        <v>77026157001</v>
      </c>
      <c r="P46" s="46">
        <f>+P48+P52+P60+P66+P70+P73+P79+P82+P84</f>
        <v>20521982785</v>
      </c>
      <c r="Q46" s="46">
        <f>+Q48+Q52+Q60+Q66+Q70+Q73+Q79+Q82+Q84</f>
        <v>56504174216</v>
      </c>
      <c r="R46" s="141">
        <f>+P46/O46</f>
        <v>0.26642875075195005</v>
      </c>
      <c r="S46" s="5"/>
      <c r="T46" s="5"/>
    </row>
    <row r="47" spans="1:21" s="25" customFormat="1" ht="13.15" customHeight="1">
      <c r="A47" s="26"/>
      <c r="B47" s="28"/>
      <c r="C47" s="29"/>
      <c r="D47" s="29"/>
      <c r="E47" s="29"/>
      <c r="F47" s="29"/>
      <c r="G47" s="29"/>
      <c r="H47" s="30"/>
      <c r="I47" s="26"/>
      <c r="J47" s="29"/>
      <c r="K47" s="29"/>
      <c r="L47" s="29"/>
      <c r="M47" s="29"/>
      <c r="N47" s="30"/>
      <c r="O47" s="26"/>
      <c r="P47" s="29"/>
      <c r="Q47" s="132"/>
      <c r="R47" s="134"/>
      <c r="S47" s="5"/>
      <c r="T47" s="5"/>
    </row>
    <row r="48" spans="1:21" s="25" customFormat="1" ht="16.5" customHeight="1">
      <c r="A48" s="24"/>
      <c r="B48" s="27" t="s">
        <v>26</v>
      </c>
      <c r="C48" s="70">
        <f>SUM(C49:C50)</f>
        <v>730000000</v>
      </c>
      <c r="D48" s="70">
        <f>SUM(D49:D50)</f>
        <v>0</v>
      </c>
      <c r="E48" s="70">
        <f>SUM(E49:E50)</f>
        <v>0</v>
      </c>
      <c r="F48" s="70">
        <f>SUM(F49:F50)</f>
        <v>730000000</v>
      </c>
      <c r="G48" s="70">
        <f>SUM(G49:G50)</f>
        <v>500115333</v>
      </c>
      <c r="H48" s="139">
        <f>+G48/F48</f>
        <v>0.68508949726027402</v>
      </c>
      <c r="I48" s="24">
        <f>SUM(I49:I50)</f>
        <v>0</v>
      </c>
      <c r="J48" s="70">
        <f>SUM(J49:J50)</f>
        <v>0</v>
      </c>
      <c r="K48" s="70">
        <f>SUM(K49:K50)</f>
        <v>0</v>
      </c>
      <c r="L48" s="70">
        <f>SUM(L49:L50)</f>
        <v>0</v>
      </c>
      <c r="M48" s="70">
        <f>SUM(M49:M50)</f>
        <v>0</v>
      </c>
      <c r="N48" s="152"/>
      <c r="O48" s="148">
        <f>SUM(O49:O50)</f>
        <v>730000000</v>
      </c>
      <c r="P48" s="46">
        <f>SUM(P49:P50)</f>
        <v>500115333</v>
      </c>
      <c r="Q48" s="46">
        <f>SUM(Q49:Q50)</f>
        <v>229884667</v>
      </c>
      <c r="R48" s="141">
        <f>+P48/O48</f>
        <v>0.68508949726027402</v>
      </c>
      <c r="S48" s="5"/>
      <c r="T48" s="5"/>
    </row>
    <row r="49" spans="1:20" s="25" customFormat="1" ht="27" customHeight="1">
      <c r="A49" s="26" t="s">
        <v>29</v>
      </c>
      <c r="B49" s="28" t="s">
        <v>77</v>
      </c>
      <c r="C49" s="29">
        <f>600000000+25000000</f>
        <v>625000000</v>
      </c>
      <c r="D49" s="29">
        <v>0</v>
      </c>
      <c r="E49" s="29">
        <v>0</v>
      </c>
      <c r="F49" s="29">
        <f>+C49+D49-E49</f>
        <v>625000000</v>
      </c>
      <c r="G49" s="29">
        <v>438315333</v>
      </c>
      <c r="H49" s="135">
        <f>+G49/F49</f>
        <v>0.70130453280000005</v>
      </c>
      <c r="I49" s="26"/>
      <c r="J49" s="29"/>
      <c r="K49" s="29"/>
      <c r="L49" s="29"/>
      <c r="M49" s="29"/>
      <c r="N49" s="150"/>
      <c r="O49" s="26">
        <f t="shared" ref="O49:P50" si="9">+L49+F49</f>
        <v>625000000</v>
      </c>
      <c r="P49" s="29">
        <f t="shared" si="9"/>
        <v>438315333</v>
      </c>
      <c r="Q49" s="132">
        <f>+O49-P49</f>
        <v>186684667</v>
      </c>
      <c r="R49" s="135">
        <f>+P49/O49</f>
        <v>0.70130453280000005</v>
      </c>
      <c r="S49" s="5"/>
      <c r="T49" s="5"/>
    </row>
    <row r="50" spans="1:20" s="25" customFormat="1" ht="25.5" customHeight="1">
      <c r="A50" s="26" t="s">
        <v>30</v>
      </c>
      <c r="B50" s="28" t="s">
        <v>27</v>
      </c>
      <c r="C50" s="29">
        <f>100000000+5000000</f>
        <v>105000000</v>
      </c>
      <c r="D50" s="29">
        <v>0</v>
      </c>
      <c r="E50" s="29">
        <v>0</v>
      </c>
      <c r="F50" s="29">
        <f>+C50+D50-E50</f>
        <v>105000000</v>
      </c>
      <c r="G50" s="29">
        <v>61800000</v>
      </c>
      <c r="H50" s="135">
        <f>+G50/F50</f>
        <v>0.58857142857142852</v>
      </c>
      <c r="I50" s="26"/>
      <c r="J50" s="29"/>
      <c r="K50" s="29"/>
      <c r="L50" s="29"/>
      <c r="M50" s="29"/>
      <c r="N50" s="150"/>
      <c r="O50" s="26">
        <f t="shared" si="9"/>
        <v>105000000</v>
      </c>
      <c r="P50" s="29">
        <f t="shared" si="9"/>
        <v>61800000</v>
      </c>
      <c r="Q50" s="132">
        <f>+O50-P50</f>
        <v>43200000</v>
      </c>
      <c r="R50" s="135">
        <f>+P50/O50</f>
        <v>0.58857142857142852</v>
      </c>
      <c r="S50" s="5"/>
      <c r="T50" s="5"/>
    </row>
    <row r="51" spans="1:20" s="25" customFormat="1" ht="13.15" customHeight="1">
      <c r="A51" s="26"/>
      <c r="B51" s="28"/>
      <c r="C51" s="29"/>
      <c r="D51" s="29"/>
      <c r="E51" s="29"/>
      <c r="F51" s="29"/>
      <c r="G51" s="29"/>
      <c r="H51" s="30"/>
      <c r="I51" s="26"/>
      <c r="J51" s="29"/>
      <c r="K51" s="29"/>
      <c r="L51" s="29"/>
      <c r="M51" s="29"/>
      <c r="N51" s="30"/>
      <c r="O51" s="26"/>
      <c r="P51" s="29"/>
      <c r="Q51" s="132"/>
      <c r="R51" s="134"/>
      <c r="S51" s="5"/>
      <c r="T51" s="5"/>
    </row>
    <row r="52" spans="1:20" s="25" customFormat="1" ht="36" customHeight="1">
      <c r="A52" s="24"/>
      <c r="B52" s="27" t="s">
        <v>28</v>
      </c>
      <c r="C52" s="70">
        <f>SUM(C53:C58)</f>
        <v>4976008731</v>
      </c>
      <c r="D52" s="70">
        <f>SUM(D53:D58)</f>
        <v>0</v>
      </c>
      <c r="E52" s="70">
        <f>SUM(E53:E58)</f>
        <v>0</v>
      </c>
      <c r="F52" s="70">
        <f>SUM(F53:F58)</f>
        <v>4976008731</v>
      </c>
      <c r="G52" s="24">
        <f>SUM(G53:G58)</f>
        <v>2705730048</v>
      </c>
      <c r="H52" s="139">
        <f t="shared" ref="H52:H58" si="10">+G52/F52</f>
        <v>0.54375508450047372</v>
      </c>
      <c r="I52" s="24">
        <f>SUM(I53:I58)</f>
        <v>0</v>
      </c>
      <c r="J52" s="70">
        <f>SUM(J53:J58)</f>
        <v>0</v>
      </c>
      <c r="K52" s="70">
        <f>SUM(K53:K58)</f>
        <v>0</v>
      </c>
      <c r="L52" s="70">
        <f>SUM(L53:L58)</f>
        <v>0</v>
      </c>
      <c r="M52" s="70">
        <f>SUM(M53:M58)</f>
        <v>0</v>
      </c>
      <c r="N52" s="152"/>
      <c r="O52" s="148">
        <f>SUM(O53:O58)</f>
        <v>4976008731</v>
      </c>
      <c r="P52" s="46">
        <f>SUM(P53:P58)</f>
        <v>2705730048</v>
      </c>
      <c r="Q52" s="46">
        <f>SUM(Q53:Q58)</f>
        <v>2270278683</v>
      </c>
      <c r="R52" s="141">
        <f t="shared" ref="R52:R58" si="11">+P52/O52</f>
        <v>0.54375508450047372</v>
      </c>
      <c r="S52" s="5"/>
      <c r="T52" s="5"/>
    </row>
    <row r="53" spans="1:20" s="25" customFormat="1" ht="23.25" customHeight="1">
      <c r="A53" s="26" t="s">
        <v>39</v>
      </c>
      <c r="B53" s="28" t="s">
        <v>34</v>
      </c>
      <c r="C53" s="29">
        <f>80000000+15000000</f>
        <v>95000000</v>
      </c>
      <c r="D53" s="29">
        <v>0</v>
      </c>
      <c r="E53" s="29">
        <v>0</v>
      </c>
      <c r="F53" s="29">
        <f t="shared" ref="F53:F58" si="12">+C53+D53-E53</f>
        <v>95000000</v>
      </c>
      <c r="G53" s="29">
        <v>0</v>
      </c>
      <c r="H53" s="135">
        <f t="shared" si="10"/>
        <v>0</v>
      </c>
      <c r="I53" s="26"/>
      <c r="J53" s="29"/>
      <c r="K53" s="29"/>
      <c r="L53" s="29"/>
      <c r="M53" s="29"/>
      <c r="N53" s="150"/>
      <c r="O53" s="26">
        <f t="shared" ref="O53:O58" si="13">+L53+F53</f>
        <v>95000000</v>
      </c>
      <c r="P53" s="29">
        <f t="shared" ref="P53:P58" si="14">+M53+G53</f>
        <v>0</v>
      </c>
      <c r="Q53" s="132">
        <f t="shared" ref="Q53:Q58" si="15">+O53-P53</f>
        <v>95000000</v>
      </c>
      <c r="R53" s="135">
        <f t="shared" si="11"/>
        <v>0</v>
      </c>
      <c r="S53" s="5"/>
      <c r="T53" s="5"/>
    </row>
    <row r="54" spans="1:20" s="25" customFormat="1" ht="39.75" customHeight="1">
      <c r="A54" s="26" t="s">
        <v>40</v>
      </c>
      <c r="B54" s="28" t="s">
        <v>31</v>
      </c>
      <c r="C54" s="29">
        <f>660891949</f>
        <v>660891949</v>
      </c>
      <c r="D54" s="29">
        <v>0</v>
      </c>
      <c r="E54" s="29">
        <v>0</v>
      </c>
      <c r="F54" s="29">
        <f t="shared" si="12"/>
        <v>660891949</v>
      </c>
      <c r="G54" s="29">
        <v>0</v>
      </c>
      <c r="H54" s="135">
        <f t="shared" si="10"/>
        <v>0</v>
      </c>
      <c r="I54" s="26"/>
      <c r="J54" s="29"/>
      <c r="K54" s="29"/>
      <c r="L54" s="29"/>
      <c r="M54" s="29"/>
      <c r="N54" s="150"/>
      <c r="O54" s="26">
        <f t="shared" si="13"/>
        <v>660891949</v>
      </c>
      <c r="P54" s="29">
        <f t="shared" si="14"/>
        <v>0</v>
      </c>
      <c r="Q54" s="132">
        <f t="shared" si="15"/>
        <v>660891949</v>
      </c>
      <c r="R54" s="135">
        <f t="shared" si="11"/>
        <v>0</v>
      </c>
      <c r="S54" s="5"/>
      <c r="T54" s="5"/>
    </row>
    <row r="55" spans="1:20" s="25" customFormat="1" ht="29.25" customHeight="1">
      <c r="A55" s="26" t="s">
        <v>41</v>
      </c>
      <c r="B55" s="28" t="s">
        <v>35</v>
      </c>
      <c r="C55" s="29">
        <v>50000000</v>
      </c>
      <c r="D55" s="29">
        <v>0</v>
      </c>
      <c r="E55" s="29">
        <v>0</v>
      </c>
      <c r="F55" s="29">
        <f t="shared" si="12"/>
        <v>50000000</v>
      </c>
      <c r="G55" s="29">
        <v>0</v>
      </c>
      <c r="H55" s="135">
        <f t="shared" si="10"/>
        <v>0</v>
      </c>
      <c r="I55" s="26"/>
      <c r="J55" s="29"/>
      <c r="K55" s="29"/>
      <c r="L55" s="29"/>
      <c r="M55" s="29"/>
      <c r="N55" s="150"/>
      <c r="O55" s="26">
        <f t="shared" si="13"/>
        <v>50000000</v>
      </c>
      <c r="P55" s="29">
        <f t="shared" si="14"/>
        <v>0</v>
      </c>
      <c r="Q55" s="132">
        <f t="shared" si="15"/>
        <v>50000000</v>
      </c>
      <c r="R55" s="135">
        <f t="shared" si="11"/>
        <v>0</v>
      </c>
      <c r="S55" s="5"/>
      <c r="T55" s="5"/>
    </row>
    <row r="56" spans="1:20" s="25" customFormat="1" ht="25.5" customHeight="1">
      <c r="A56" s="128" t="s">
        <v>42</v>
      </c>
      <c r="B56" s="129" t="s">
        <v>32</v>
      </c>
      <c r="C56" s="130">
        <f>2983463904+100000000</f>
        <v>3083463904</v>
      </c>
      <c r="D56" s="29">
        <v>0</v>
      </c>
      <c r="E56" s="29">
        <v>0</v>
      </c>
      <c r="F56" s="130">
        <f t="shared" si="12"/>
        <v>3083463904</v>
      </c>
      <c r="G56" s="29">
        <v>2276430048</v>
      </c>
      <c r="H56" s="135">
        <f t="shared" si="10"/>
        <v>0.7382703734741044</v>
      </c>
      <c r="I56" s="26"/>
      <c r="J56" s="29"/>
      <c r="K56" s="29"/>
      <c r="L56" s="29"/>
      <c r="M56" s="29"/>
      <c r="N56" s="150"/>
      <c r="O56" s="26">
        <f t="shared" si="13"/>
        <v>3083463904</v>
      </c>
      <c r="P56" s="29">
        <f t="shared" si="14"/>
        <v>2276430048</v>
      </c>
      <c r="Q56" s="132">
        <f t="shared" si="15"/>
        <v>807033856</v>
      </c>
      <c r="R56" s="135">
        <f t="shared" si="11"/>
        <v>0.7382703734741044</v>
      </c>
      <c r="S56" s="5"/>
      <c r="T56" s="5"/>
    </row>
    <row r="57" spans="1:20" s="25" customFormat="1" ht="25.5" customHeight="1">
      <c r="A57" s="26" t="s">
        <v>82</v>
      </c>
      <c r="B57" s="28" t="s">
        <v>231</v>
      </c>
      <c r="C57" s="29">
        <f>100000000</f>
        <v>100000000</v>
      </c>
      <c r="D57" s="29">
        <v>0</v>
      </c>
      <c r="E57" s="29">
        <v>0</v>
      </c>
      <c r="F57" s="29">
        <f t="shared" si="12"/>
        <v>100000000</v>
      </c>
      <c r="G57" s="29">
        <v>0</v>
      </c>
      <c r="H57" s="135">
        <f t="shared" si="10"/>
        <v>0</v>
      </c>
      <c r="I57" s="26"/>
      <c r="J57" s="29"/>
      <c r="K57" s="29"/>
      <c r="L57" s="29"/>
      <c r="M57" s="29"/>
      <c r="N57" s="150"/>
      <c r="O57" s="26">
        <f t="shared" si="13"/>
        <v>100000000</v>
      </c>
      <c r="P57" s="29">
        <f t="shared" si="14"/>
        <v>0</v>
      </c>
      <c r="Q57" s="132">
        <f t="shared" si="15"/>
        <v>100000000</v>
      </c>
      <c r="R57" s="135">
        <f t="shared" si="11"/>
        <v>0</v>
      </c>
      <c r="S57" s="5"/>
      <c r="T57" s="5"/>
    </row>
    <row r="58" spans="1:20" s="25" customFormat="1" ht="21.75" customHeight="1">
      <c r="A58" s="26" t="s">
        <v>43</v>
      </c>
      <c r="B58" s="28" t="s">
        <v>33</v>
      </c>
      <c r="C58" s="29">
        <f>100000000+876652878+10000000</f>
        <v>986652878</v>
      </c>
      <c r="D58" s="29">
        <v>0</v>
      </c>
      <c r="E58" s="29">
        <v>0</v>
      </c>
      <c r="F58" s="29">
        <f t="shared" si="12"/>
        <v>986652878</v>
      </c>
      <c r="G58" s="29">
        <v>429300000</v>
      </c>
      <c r="H58" s="135">
        <f t="shared" si="10"/>
        <v>0.43510743197771323</v>
      </c>
      <c r="I58" s="26"/>
      <c r="J58" s="29"/>
      <c r="K58" s="29"/>
      <c r="L58" s="29"/>
      <c r="M58" s="29"/>
      <c r="N58" s="150"/>
      <c r="O58" s="26">
        <f t="shared" si="13"/>
        <v>986652878</v>
      </c>
      <c r="P58" s="29">
        <f t="shared" si="14"/>
        <v>429300000</v>
      </c>
      <c r="Q58" s="132">
        <f t="shared" si="15"/>
        <v>557352878</v>
      </c>
      <c r="R58" s="135">
        <f t="shared" si="11"/>
        <v>0.43510743197771323</v>
      </c>
      <c r="S58" s="5"/>
      <c r="T58" s="5"/>
    </row>
    <row r="59" spans="1:20" s="25" customFormat="1" ht="13.15" customHeight="1">
      <c r="A59" s="26"/>
      <c r="B59" s="28"/>
      <c r="C59" s="29"/>
      <c r="D59" s="29"/>
      <c r="E59" s="29"/>
      <c r="F59" s="29"/>
      <c r="G59" s="29"/>
      <c r="H59" s="30"/>
      <c r="I59" s="26"/>
      <c r="J59" s="29"/>
      <c r="K59" s="29"/>
      <c r="L59" s="29"/>
      <c r="M59" s="29"/>
      <c r="N59" s="30"/>
      <c r="O59" s="26"/>
      <c r="P59" s="29"/>
      <c r="Q59" s="132"/>
      <c r="R59" s="134"/>
      <c r="S59" s="5"/>
      <c r="T59" s="5"/>
    </row>
    <row r="60" spans="1:20" s="25" customFormat="1" ht="36" customHeight="1">
      <c r="A60" s="24"/>
      <c r="B60" s="27" t="s">
        <v>70</v>
      </c>
      <c r="C60" s="70">
        <f>SUM(C61:C64)</f>
        <v>15209645745</v>
      </c>
      <c r="D60" s="70">
        <f>SUM(D61:D64)</f>
        <v>0</v>
      </c>
      <c r="E60" s="70">
        <f>SUM(E61:E64)</f>
        <v>0</v>
      </c>
      <c r="F60" s="70">
        <f>SUM(F61:F64)</f>
        <v>15209645745</v>
      </c>
      <c r="G60" s="70">
        <f>SUM(G61:G64)</f>
        <v>13755703958</v>
      </c>
      <c r="H60" s="139">
        <f t="shared" ref="H60:H64" si="16">+G60/F60</f>
        <v>0.90440659753840968</v>
      </c>
      <c r="I60" s="24">
        <f>SUM(I61:I64)</f>
        <v>0</v>
      </c>
      <c r="J60" s="70">
        <f>SUM(J61:J64)</f>
        <v>0</v>
      </c>
      <c r="K60" s="70">
        <f>SUM(K61:K64)</f>
        <v>0</v>
      </c>
      <c r="L60" s="70">
        <f>SUM(L61:L64)</f>
        <v>0</v>
      </c>
      <c r="M60" s="70">
        <f>SUM(M61:M64)</f>
        <v>0</v>
      </c>
      <c r="N60" s="152"/>
      <c r="O60" s="148">
        <f>SUM(O61:O64)</f>
        <v>15209645745</v>
      </c>
      <c r="P60" s="46">
        <f>SUM(P61:P64)</f>
        <v>13755703958</v>
      </c>
      <c r="Q60" s="46">
        <f>SUM(Q61:Q64)</f>
        <v>1453941787</v>
      </c>
      <c r="R60" s="141">
        <f t="shared" ref="R60:R64" si="17">+P60/O60</f>
        <v>0.90440659753840968</v>
      </c>
      <c r="S60" s="5"/>
      <c r="T60" s="5"/>
    </row>
    <row r="61" spans="1:20" s="25" customFormat="1" ht="23.25" customHeight="1">
      <c r="A61" s="26" t="s">
        <v>44</v>
      </c>
      <c r="B61" s="28" t="s">
        <v>49</v>
      </c>
      <c r="C61" s="29">
        <f>1292538287</f>
        <v>1292538287</v>
      </c>
      <c r="D61" s="29">
        <v>0</v>
      </c>
      <c r="E61" s="29">
        <v>0</v>
      </c>
      <c r="F61" s="29">
        <f t="shared" ref="F61:F64" si="18">+C61+D61-E61</f>
        <v>1292538287</v>
      </c>
      <c r="G61" s="29">
        <v>0</v>
      </c>
      <c r="H61" s="135">
        <f t="shared" si="16"/>
        <v>0</v>
      </c>
      <c r="I61" s="26"/>
      <c r="J61" s="29"/>
      <c r="K61" s="29"/>
      <c r="L61" s="29"/>
      <c r="M61" s="29"/>
      <c r="N61" s="150"/>
      <c r="O61" s="26">
        <f t="shared" ref="O61:P64" si="19">+L61+F61</f>
        <v>1292538287</v>
      </c>
      <c r="P61" s="29">
        <f t="shared" si="19"/>
        <v>0</v>
      </c>
      <c r="Q61" s="132">
        <f t="shared" ref="Q61:Q64" si="20">+O61-P61</f>
        <v>1292538287</v>
      </c>
      <c r="R61" s="135">
        <f t="shared" si="17"/>
        <v>0</v>
      </c>
      <c r="S61" s="5"/>
      <c r="T61" s="5"/>
    </row>
    <row r="62" spans="1:20" s="25" customFormat="1" ht="22.5" customHeight="1">
      <c r="A62" s="26" t="s">
        <v>45</v>
      </c>
      <c r="B62" s="28" t="s">
        <v>36</v>
      </c>
      <c r="C62" s="29">
        <f>460000000</f>
        <v>460000000</v>
      </c>
      <c r="D62" s="29">
        <v>0</v>
      </c>
      <c r="E62" s="29">
        <v>0</v>
      </c>
      <c r="F62" s="29">
        <f t="shared" si="18"/>
        <v>460000000</v>
      </c>
      <c r="G62" s="29">
        <v>448596500</v>
      </c>
      <c r="H62" s="135">
        <f t="shared" si="16"/>
        <v>0.97520978260869562</v>
      </c>
      <c r="I62" s="26"/>
      <c r="J62" s="29"/>
      <c r="K62" s="29"/>
      <c r="L62" s="29"/>
      <c r="M62" s="29"/>
      <c r="N62" s="150"/>
      <c r="O62" s="26">
        <f t="shared" si="19"/>
        <v>460000000</v>
      </c>
      <c r="P62" s="29">
        <f t="shared" si="19"/>
        <v>448596500</v>
      </c>
      <c r="Q62" s="132">
        <f t="shared" si="20"/>
        <v>11403500</v>
      </c>
      <c r="R62" s="135">
        <f t="shared" si="17"/>
        <v>0.97520978260869562</v>
      </c>
      <c r="S62" s="5"/>
      <c r="T62" s="5"/>
    </row>
    <row r="63" spans="1:20" s="25" customFormat="1" ht="27.75" customHeight="1">
      <c r="A63" s="26" t="s">
        <v>46</v>
      </c>
      <c r="B63" s="28" t="s">
        <v>47</v>
      </c>
      <c r="C63" s="29">
        <f>13307107458</f>
        <v>13307107458</v>
      </c>
      <c r="D63" s="29">
        <v>0</v>
      </c>
      <c r="E63" s="29">
        <v>0</v>
      </c>
      <c r="F63" s="29">
        <f t="shared" si="18"/>
        <v>13307107458</v>
      </c>
      <c r="G63" s="29">
        <f>13307107458</f>
        <v>13307107458</v>
      </c>
      <c r="H63" s="135">
        <f t="shared" si="16"/>
        <v>1</v>
      </c>
      <c r="I63" s="26"/>
      <c r="J63" s="29"/>
      <c r="K63" s="29"/>
      <c r="L63" s="29"/>
      <c r="M63" s="29"/>
      <c r="N63" s="150"/>
      <c r="O63" s="26">
        <f t="shared" si="19"/>
        <v>13307107458</v>
      </c>
      <c r="P63" s="29">
        <f t="shared" si="19"/>
        <v>13307107458</v>
      </c>
      <c r="Q63" s="132">
        <f t="shared" si="20"/>
        <v>0</v>
      </c>
      <c r="R63" s="135">
        <f t="shared" si="17"/>
        <v>1</v>
      </c>
      <c r="S63" s="5"/>
      <c r="T63" s="5"/>
    </row>
    <row r="64" spans="1:20" s="25" customFormat="1" ht="24">
      <c r="A64" s="26" t="s">
        <v>48</v>
      </c>
      <c r="B64" s="28" t="s">
        <v>269</v>
      </c>
      <c r="C64" s="29">
        <f>150000000</f>
        <v>150000000</v>
      </c>
      <c r="D64" s="29">
        <v>0</v>
      </c>
      <c r="E64" s="29">
        <v>0</v>
      </c>
      <c r="F64" s="29">
        <f t="shared" si="18"/>
        <v>150000000</v>
      </c>
      <c r="G64" s="29">
        <v>0</v>
      </c>
      <c r="H64" s="135">
        <f t="shared" si="16"/>
        <v>0</v>
      </c>
      <c r="I64" s="26"/>
      <c r="J64" s="29"/>
      <c r="K64" s="29"/>
      <c r="L64" s="29"/>
      <c r="M64" s="29"/>
      <c r="N64" s="150"/>
      <c r="O64" s="26">
        <f t="shared" si="19"/>
        <v>150000000</v>
      </c>
      <c r="P64" s="29">
        <f t="shared" si="19"/>
        <v>0</v>
      </c>
      <c r="Q64" s="132">
        <f t="shared" si="20"/>
        <v>150000000</v>
      </c>
      <c r="R64" s="135">
        <f t="shared" si="17"/>
        <v>0</v>
      </c>
      <c r="S64" s="5"/>
      <c r="T64" s="5"/>
    </row>
    <row r="65" spans="1:20" s="25" customFormat="1" ht="13.15" customHeight="1">
      <c r="A65" s="26"/>
      <c r="B65" s="28"/>
      <c r="C65" s="29"/>
      <c r="D65" s="29"/>
      <c r="E65" s="29"/>
      <c r="F65" s="29"/>
      <c r="G65" s="29"/>
      <c r="H65" s="30"/>
      <c r="I65" s="26"/>
      <c r="J65" s="29"/>
      <c r="K65" s="29"/>
      <c r="L65" s="29"/>
      <c r="M65" s="29"/>
      <c r="N65" s="30"/>
      <c r="O65" s="26"/>
      <c r="P65" s="29"/>
      <c r="Q65" s="132"/>
      <c r="R65" s="134"/>
      <c r="S65" s="5"/>
      <c r="T65" s="5"/>
    </row>
    <row r="66" spans="1:20" s="25" customFormat="1" ht="24" customHeight="1">
      <c r="A66" s="24"/>
      <c r="B66" s="27" t="s">
        <v>11</v>
      </c>
      <c r="C66" s="70">
        <f>SUM(C67:C68)</f>
        <v>7880979648</v>
      </c>
      <c r="D66" s="70">
        <f>SUM(D67:D68)</f>
        <v>0</v>
      </c>
      <c r="E66" s="70">
        <f>SUM(E67:E68)</f>
        <v>0</v>
      </c>
      <c r="F66" s="70">
        <f>SUM(F67:F68)</f>
        <v>7880979648</v>
      </c>
      <c r="G66" s="70">
        <f>SUM(G67:G68)</f>
        <v>1875432582</v>
      </c>
      <c r="H66" s="139">
        <f>+G66/F66</f>
        <v>0.23796947407115041</v>
      </c>
      <c r="I66" s="24">
        <f>SUM(I67:I68)</f>
        <v>0</v>
      </c>
      <c r="J66" s="70">
        <f>SUM(J67:J68)</f>
        <v>0</v>
      </c>
      <c r="K66" s="70">
        <f>SUM(K67:K68)</f>
        <v>0</v>
      </c>
      <c r="L66" s="70">
        <f>SUM(L67:L68)</f>
        <v>0</v>
      </c>
      <c r="M66" s="70">
        <f>SUM(M67:M68)</f>
        <v>0</v>
      </c>
      <c r="N66" s="152"/>
      <c r="O66" s="148">
        <f>SUM(O67:O68)</f>
        <v>7880979648</v>
      </c>
      <c r="P66" s="46">
        <f>SUM(P67:P68)</f>
        <v>1875432582</v>
      </c>
      <c r="Q66" s="46">
        <f>SUM(Q67:Q68)</f>
        <v>6005547066</v>
      </c>
      <c r="R66" s="141">
        <f>+P66/O66</f>
        <v>0.23796947407115041</v>
      </c>
      <c r="S66" s="5"/>
      <c r="T66" s="5"/>
    </row>
    <row r="67" spans="1:20" s="25" customFormat="1" ht="19.5" customHeight="1">
      <c r="A67" s="26" t="s">
        <v>50</v>
      </c>
      <c r="B67" s="28" t="s">
        <v>37</v>
      </c>
      <c r="C67" s="29">
        <v>2842182660</v>
      </c>
      <c r="D67" s="29">
        <v>0</v>
      </c>
      <c r="E67" s="29">
        <v>0</v>
      </c>
      <c r="F67" s="29">
        <f>+C67+D67-E67</f>
        <v>2842182660</v>
      </c>
      <c r="G67" s="29">
        <v>700400000</v>
      </c>
      <c r="H67" s="135">
        <f>+G67/F67</f>
        <v>0.24643032619163188</v>
      </c>
      <c r="I67" s="26"/>
      <c r="J67" s="29"/>
      <c r="K67" s="29"/>
      <c r="L67" s="29"/>
      <c r="M67" s="29"/>
      <c r="N67" s="150"/>
      <c r="O67" s="26">
        <f t="shared" ref="O67:P68" si="21">+L67+F67</f>
        <v>2842182660</v>
      </c>
      <c r="P67" s="29">
        <f t="shared" si="21"/>
        <v>700400000</v>
      </c>
      <c r="Q67" s="132">
        <f>+O67-P67</f>
        <v>2141782660</v>
      </c>
      <c r="R67" s="135">
        <f>+P67/O67</f>
        <v>0.24643032619163188</v>
      </c>
      <c r="S67" s="5"/>
      <c r="T67" s="5"/>
    </row>
    <row r="68" spans="1:20" s="25" customFormat="1" ht="23.25" customHeight="1">
      <c r="A68" s="26" t="s">
        <v>51</v>
      </c>
      <c r="B68" s="28" t="s">
        <v>38</v>
      </c>
      <c r="C68" s="29">
        <v>5038796988</v>
      </c>
      <c r="D68" s="29">
        <v>0</v>
      </c>
      <c r="E68" s="29">
        <v>0</v>
      </c>
      <c r="F68" s="29">
        <f>+C68+D68-E68</f>
        <v>5038796988</v>
      </c>
      <c r="G68" s="29">
        <v>1175032582</v>
      </c>
      <c r="H68" s="135">
        <f>+G68/F68</f>
        <v>0.2331970477870739</v>
      </c>
      <c r="I68" s="26"/>
      <c r="J68" s="29"/>
      <c r="K68" s="29"/>
      <c r="L68" s="29"/>
      <c r="M68" s="29"/>
      <c r="N68" s="150"/>
      <c r="O68" s="26">
        <f t="shared" si="21"/>
        <v>5038796988</v>
      </c>
      <c r="P68" s="29">
        <f t="shared" si="21"/>
        <v>1175032582</v>
      </c>
      <c r="Q68" s="132">
        <f>+O68-P68</f>
        <v>3863764406</v>
      </c>
      <c r="R68" s="135">
        <f>+P68/O68</f>
        <v>0.2331970477870739</v>
      </c>
      <c r="S68" s="5"/>
      <c r="T68" s="5"/>
    </row>
    <row r="69" spans="1:20" s="25" customFormat="1" ht="13.15" customHeight="1">
      <c r="A69" s="26"/>
      <c r="B69" s="28"/>
      <c r="C69" s="29"/>
      <c r="D69" s="29"/>
      <c r="E69" s="29"/>
      <c r="F69" s="29"/>
      <c r="G69" s="29"/>
      <c r="H69" s="30"/>
      <c r="I69" s="26"/>
      <c r="J69" s="29"/>
      <c r="K69" s="29"/>
      <c r="L69" s="29"/>
      <c r="M69" s="29"/>
      <c r="N69" s="30"/>
      <c r="O69" s="26"/>
      <c r="P69" s="29"/>
      <c r="Q69" s="132"/>
      <c r="R69" s="134"/>
      <c r="S69" s="5"/>
      <c r="T69" s="5"/>
    </row>
    <row r="70" spans="1:20" s="25" customFormat="1" ht="24" customHeight="1">
      <c r="A70" s="24"/>
      <c r="B70" s="27" t="s">
        <v>71</v>
      </c>
      <c r="C70" s="70">
        <f>+C71</f>
        <v>100000000</v>
      </c>
      <c r="D70" s="70">
        <f>+D71</f>
        <v>0</v>
      </c>
      <c r="E70" s="70">
        <f>+E71</f>
        <v>0</v>
      </c>
      <c r="F70" s="70">
        <f>+F71</f>
        <v>100000000</v>
      </c>
      <c r="G70" s="70">
        <f>+G71</f>
        <v>0</v>
      </c>
      <c r="H70" s="139">
        <f>+G70/F70</f>
        <v>0</v>
      </c>
      <c r="I70" s="24">
        <f t="shared" ref="G70:P70" si="22">+I71</f>
        <v>0</v>
      </c>
      <c r="J70" s="70">
        <f t="shared" si="22"/>
        <v>0</v>
      </c>
      <c r="K70" s="70"/>
      <c r="L70" s="70">
        <f t="shared" si="22"/>
        <v>0</v>
      </c>
      <c r="M70" s="70">
        <f t="shared" si="22"/>
        <v>0</v>
      </c>
      <c r="N70" s="152"/>
      <c r="O70" s="24">
        <f t="shared" si="22"/>
        <v>100000000</v>
      </c>
      <c r="P70" s="46">
        <f t="shared" si="22"/>
        <v>0</v>
      </c>
      <c r="Q70" s="70">
        <f>+Q71</f>
        <v>100000000</v>
      </c>
      <c r="R70" s="141">
        <f>+P70/O70</f>
        <v>0</v>
      </c>
      <c r="S70" s="5"/>
      <c r="T70" s="5"/>
    </row>
    <row r="71" spans="1:20" s="25" customFormat="1" ht="26.25" customHeight="1">
      <c r="A71" s="26" t="s">
        <v>53</v>
      </c>
      <c r="B71" s="28" t="s">
        <v>52</v>
      </c>
      <c r="C71" s="29">
        <f>50000000+50000000</f>
        <v>100000000</v>
      </c>
      <c r="D71" s="29">
        <v>0</v>
      </c>
      <c r="E71" s="29">
        <v>0</v>
      </c>
      <c r="F71" s="130">
        <f>+C71+D71-E71</f>
        <v>100000000</v>
      </c>
      <c r="G71" s="29">
        <v>0</v>
      </c>
      <c r="H71" s="135">
        <f>+G71/F71</f>
        <v>0</v>
      </c>
      <c r="I71" s="26"/>
      <c r="J71" s="29"/>
      <c r="K71" s="29"/>
      <c r="L71" s="29"/>
      <c r="M71" s="29"/>
      <c r="N71" s="150"/>
      <c r="O71" s="26">
        <f>+L71+F71</f>
        <v>100000000</v>
      </c>
      <c r="P71" s="29">
        <f>+M71+G71</f>
        <v>0</v>
      </c>
      <c r="Q71" s="132">
        <f>+O71-P71</f>
        <v>100000000</v>
      </c>
      <c r="R71" s="135">
        <f>+P71/O71</f>
        <v>0</v>
      </c>
      <c r="S71" s="5"/>
      <c r="T71" s="5"/>
    </row>
    <row r="72" spans="1:20" s="25" customFormat="1" ht="13.15" customHeight="1">
      <c r="A72" s="26"/>
      <c r="B72" s="28"/>
      <c r="C72" s="29"/>
      <c r="D72" s="29"/>
      <c r="E72" s="29"/>
      <c r="F72" s="29"/>
      <c r="G72" s="29"/>
      <c r="H72" s="30"/>
      <c r="I72" s="26"/>
      <c r="J72" s="29"/>
      <c r="K72" s="29"/>
      <c r="L72" s="29"/>
      <c r="M72" s="29"/>
      <c r="N72" s="30"/>
      <c r="O72" s="26"/>
      <c r="P72" s="29"/>
      <c r="Q72" s="132"/>
      <c r="R72" s="134"/>
      <c r="S72" s="5"/>
      <c r="T72" s="5"/>
    </row>
    <row r="73" spans="1:20" s="25" customFormat="1" ht="24" customHeight="1">
      <c r="A73" s="24"/>
      <c r="B73" s="27" t="s">
        <v>75</v>
      </c>
      <c r="C73" s="70">
        <f>SUM(C74:C77)</f>
        <v>46656000000</v>
      </c>
      <c r="D73" s="70">
        <f>SUM(D74:D77)</f>
        <v>0</v>
      </c>
      <c r="E73" s="70">
        <f>SUM(E74:E77)</f>
        <v>0</v>
      </c>
      <c r="F73" s="70">
        <f>SUM(F74:F77)</f>
        <v>46656000000</v>
      </c>
      <c r="G73" s="70">
        <f>SUM(G74:G77)</f>
        <v>1195400864</v>
      </c>
      <c r="H73" s="139">
        <f t="shared" ref="H73:H77" si="23">+G73/F73</f>
        <v>2.5621589163237313E-2</v>
      </c>
      <c r="I73" s="24">
        <f>SUM(I74:I77)</f>
        <v>0</v>
      </c>
      <c r="J73" s="70">
        <f>SUM(J74:J77)</f>
        <v>0</v>
      </c>
      <c r="K73" s="70">
        <f>SUM(K74:K77)</f>
        <v>0</v>
      </c>
      <c r="L73" s="70">
        <f>SUM(L74:L77)</f>
        <v>0</v>
      </c>
      <c r="M73" s="70">
        <f>SUM(M74:M77)</f>
        <v>0</v>
      </c>
      <c r="N73" s="152"/>
      <c r="O73" s="148">
        <f>SUM(O74:O77)</f>
        <v>46656000000</v>
      </c>
      <c r="P73" s="46">
        <f>SUM(P74:P77)</f>
        <v>1195400864</v>
      </c>
      <c r="Q73" s="46">
        <f>SUM(Q74:Q77)</f>
        <v>45460599136</v>
      </c>
      <c r="R73" s="141">
        <f t="shared" ref="R73:R77" si="24">+P73/O73</f>
        <v>2.5621589163237313E-2</v>
      </c>
      <c r="S73" s="5"/>
      <c r="T73" s="5"/>
    </row>
    <row r="74" spans="1:20" s="25" customFormat="1" ht="24" customHeight="1">
      <c r="A74" s="26" t="s">
        <v>83</v>
      </c>
      <c r="B74" s="28" t="s">
        <v>270</v>
      </c>
      <c r="C74" s="29">
        <f>200000000</f>
        <v>200000000</v>
      </c>
      <c r="D74" s="29">
        <v>0</v>
      </c>
      <c r="E74" s="29">
        <v>0</v>
      </c>
      <c r="F74" s="29">
        <f>+C74+D74-E74</f>
        <v>200000000</v>
      </c>
      <c r="G74" s="29">
        <v>0</v>
      </c>
      <c r="H74" s="135">
        <f t="shared" si="23"/>
        <v>0</v>
      </c>
      <c r="I74" s="26"/>
      <c r="J74" s="29"/>
      <c r="K74" s="29"/>
      <c r="L74" s="29"/>
      <c r="M74" s="29"/>
      <c r="N74" s="150"/>
      <c r="O74" s="26">
        <f t="shared" ref="O74:P76" si="25">+L74+F74</f>
        <v>200000000</v>
      </c>
      <c r="P74" s="29">
        <f t="shared" si="25"/>
        <v>0</v>
      </c>
      <c r="Q74" s="132">
        <f>+O74-P74</f>
        <v>200000000</v>
      </c>
      <c r="R74" s="135">
        <f t="shared" si="24"/>
        <v>0</v>
      </c>
      <c r="S74" s="5"/>
      <c r="T74" s="5"/>
    </row>
    <row r="75" spans="1:20" s="25" customFormat="1" ht="24" customHeight="1">
      <c r="A75" s="26" t="s">
        <v>61</v>
      </c>
      <c r="B75" s="28" t="s">
        <v>60</v>
      </c>
      <c r="C75" s="29">
        <f>1000000000</f>
        <v>1000000000</v>
      </c>
      <c r="D75" s="29">
        <v>0</v>
      </c>
      <c r="E75" s="29">
        <v>0</v>
      </c>
      <c r="F75" s="29">
        <f>+C75+D75-E75</f>
        <v>1000000000</v>
      </c>
      <c r="G75" s="29">
        <f>499987700</f>
        <v>499987700</v>
      </c>
      <c r="H75" s="135">
        <f t="shared" si="23"/>
        <v>0.49998769999999998</v>
      </c>
      <c r="I75" s="26"/>
      <c r="J75" s="29"/>
      <c r="K75" s="29"/>
      <c r="L75" s="29"/>
      <c r="M75" s="29"/>
      <c r="N75" s="150"/>
      <c r="O75" s="26">
        <f t="shared" si="25"/>
        <v>1000000000</v>
      </c>
      <c r="P75" s="29">
        <f t="shared" si="25"/>
        <v>499987700</v>
      </c>
      <c r="Q75" s="132">
        <f>+O75-P75</f>
        <v>500012300</v>
      </c>
      <c r="R75" s="135">
        <f t="shared" si="24"/>
        <v>0.49998769999999998</v>
      </c>
      <c r="S75" s="5"/>
      <c r="T75" s="5"/>
    </row>
    <row r="76" spans="1:20" s="25" customFormat="1" ht="24" customHeight="1">
      <c r="A76" s="26" t="s">
        <v>62</v>
      </c>
      <c r="B76" s="28" t="s">
        <v>55</v>
      </c>
      <c r="C76" s="29">
        <f>120000000</f>
        <v>120000000</v>
      </c>
      <c r="D76" s="29">
        <v>0</v>
      </c>
      <c r="E76" s="29">
        <v>0</v>
      </c>
      <c r="F76" s="29">
        <f>+C76+D76-E76</f>
        <v>120000000</v>
      </c>
      <c r="G76" s="29">
        <v>0</v>
      </c>
      <c r="H76" s="135">
        <f t="shared" si="23"/>
        <v>0</v>
      </c>
      <c r="I76" s="26"/>
      <c r="J76" s="29"/>
      <c r="K76" s="29"/>
      <c r="L76" s="29"/>
      <c r="M76" s="29"/>
      <c r="N76" s="150"/>
      <c r="O76" s="26">
        <f t="shared" si="25"/>
        <v>120000000</v>
      </c>
      <c r="P76" s="29">
        <f t="shared" si="25"/>
        <v>0</v>
      </c>
      <c r="Q76" s="132">
        <f>+O76-P76</f>
        <v>120000000</v>
      </c>
      <c r="R76" s="135">
        <f t="shared" si="24"/>
        <v>0</v>
      </c>
      <c r="S76" s="5"/>
      <c r="T76" s="5"/>
    </row>
    <row r="77" spans="1:20" s="25" customFormat="1" ht="24" customHeight="1">
      <c r="A77" s="26" t="s">
        <v>63</v>
      </c>
      <c r="B77" s="28" t="s">
        <v>271</v>
      </c>
      <c r="C77" s="29">
        <f>44606000000+700000000+30000000</f>
        <v>45336000000</v>
      </c>
      <c r="D77" s="29">
        <v>0</v>
      </c>
      <c r="E77" s="29">
        <v>0</v>
      </c>
      <c r="F77" s="130">
        <f>+C77+D77-E77</f>
        <v>45336000000</v>
      </c>
      <c r="G77" s="29">
        <v>695413164</v>
      </c>
      <c r="H77" s="135">
        <f t="shared" si="23"/>
        <v>1.5339093965060878E-2</v>
      </c>
      <c r="I77" s="26"/>
      <c r="J77" s="29"/>
      <c r="K77" s="29"/>
      <c r="L77" s="29"/>
      <c r="M77" s="29"/>
      <c r="N77" s="150"/>
      <c r="O77" s="26">
        <f>+L77+F77</f>
        <v>45336000000</v>
      </c>
      <c r="P77" s="29">
        <f>+M77+G77</f>
        <v>695413164</v>
      </c>
      <c r="Q77" s="132">
        <f>+O77-P77</f>
        <v>44640586836</v>
      </c>
      <c r="R77" s="135">
        <f t="shared" si="24"/>
        <v>1.5339093965060878E-2</v>
      </c>
      <c r="S77" s="5"/>
      <c r="T77" s="5"/>
    </row>
    <row r="78" spans="1:20" s="25" customFormat="1" ht="13.15" customHeight="1">
      <c r="A78" s="26"/>
      <c r="B78" s="28"/>
      <c r="C78" s="29"/>
      <c r="D78" s="29"/>
      <c r="E78" s="29"/>
      <c r="F78" s="29"/>
      <c r="G78" s="29"/>
      <c r="H78" s="30"/>
      <c r="I78" s="26"/>
      <c r="J78" s="29"/>
      <c r="K78" s="29"/>
      <c r="L78" s="29"/>
      <c r="M78" s="29"/>
      <c r="N78" s="30"/>
      <c r="O78" s="26">
        <f>+L78+F78</f>
        <v>0</v>
      </c>
      <c r="P78" s="29"/>
      <c r="Q78" s="132"/>
      <c r="R78" s="134"/>
      <c r="S78" s="5"/>
      <c r="T78" s="5"/>
    </row>
    <row r="79" spans="1:20" s="25" customFormat="1" ht="37.5" customHeight="1">
      <c r="A79" s="24"/>
      <c r="B79" s="27" t="s">
        <v>76</v>
      </c>
      <c r="C79" s="70">
        <f>SUM(C80:C80)</f>
        <v>338522877</v>
      </c>
      <c r="D79" s="70">
        <f>SUM(D80:D80)</f>
        <v>0</v>
      </c>
      <c r="E79" s="70">
        <f>SUM(E80:E80)</f>
        <v>0</v>
      </c>
      <c r="F79" s="70">
        <f>SUM(F80:F80)</f>
        <v>338522877</v>
      </c>
      <c r="G79" s="70">
        <f>SUM(G80:G80)</f>
        <v>0</v>
      </c>
      <c r="H79" s="139">
        <f>+G79/F79</f>
        <v>0</v>
      </c>
      <c r="I79" s="24">
        <f>SUM(I80:I80)</f>
        <v>0</v>
      </c>
      <c r="J79" s="70">
        <f>SUM(J80:J80)</f>
        <v>0</v>
      </c>
      <c r="K79" s="70">
        <f>SUM(K80:K80)</f>
        <v>0</v>
      </c>
      <c r="L79" s="70">
        <f>SUM(L80:L80)</f>
        <v>0</v>
      </c>
      <c r="M79" s="70">
        <f>SUM(M80:M80)</f>
        <v>0</v>
      </c>
      <c r="N79" s="152"/>
      <c r="O79" s="148">
        <f>SUM(O80:O80)</f>
        <v>338522877</v>
      </c>
      <c r="P79" s="46">
        <f>SUM(P80:P80)</f>
        <v>0</v>
      </c>
      <c r="Q79" s="46">
        <f>SUM(Q80:Q80)</f>
        <v>338522877</v>
      </c>
      <c r="R79" s="141">
        <f>+P79/O79</f>
        <v>0</v>
      </c>
      <c r="S79" s="5"/>
      <c r="T79" s="5"/>
    </row>
    <row r="80" spans="1:20" s="25" customFormat="1" ht="23.25" customHeight="1">
      <c r="A80" s="26" t="s">
        <v>64</v>
      </c>
      <c r="B80" s="28" t="s">
        <v>54</v>
      </c>
      <c r="C80" s="29">
        <f>338522877</f>
        <v>338522877</v>
      </c>
      <c r="D80" s="29">
        <v>0</v>
      </c>
      <c r="E80" s="29">
        <v>0</v>
      </c>
      <c r="F80" s="29">
        <f>+C80+D80-E80</f>
        <v>338522877</v>
      </c>
      <c r="G80" s="29">
        <v>0</v>
      </c>
      <c r="H80" s="135">
        <f>+G80/F80</f>
        <v>0</v>
      </c>
      <c r="I80" s="26"/>
      <c r="J80" s="29"/>
      <c r="K80" s="29"/>
      <c r="L80" s="29"/>
      <c r="M80" s="29"/>
      <c r="N80" s="150"/>
      <c r="O80" s="26">
        <f t="shared" ref="O80:P80" si="26">+L80+F80</f>
        <v>338522877</v>
      </c>
      <c r="P80" s="29">
        <f t="shared" si="26"/>
        <v>0</v>
      </c>
      <c r="Q80" s="132">
        <f>+O80-P80</f>
        <v>338522877</v>
      </c>
      <c r="R80" s="135">
        <f>+P80/O80</f>
        <v>0</v>
      </c>
      <c r="S80" s="5"/>
      <c r="T80" s="5"/>
    </row>
    <row r="81" spans="1:20" s="25" customFormat="1" ht="13.15" customHeight="1">
      <c r="A81" s="26"/>
      <c r="B81" s="28"/>
      <c r="C81" s="29"/>
      <c r="D81" s="29"/>
      <c r="E81" s="29"/>
      <c r="F81" s="29"/>
      <c r="G81" s="29"/>
      <c r="H81" s="30"/>
      <c r="I81" s="26"/>
      <c r="J81" s="29"/>
      <c r="K81" s="29"/>
      <c r="L81" s="29"/>
      <c r="M81" s="29"/>
      <c r="N81" s="30"/>
      <c r="O81" s="26"/>
      <c r="P81" s="29"/>
      <c r="Q81" s="132"/>
      <c r="R81" s="134"/>
      <c r="S81" s="5"/>
      <c r="T81" s="5"/>
    </row>
    <row r="82" spans="1:20" s="25" customFormat="1" ht="24.75" customHeight="1">
      <c r="A82" s="24"/>
      <c r="B82" s="27" t="s">
        <v>72</v>
      </c>
      <c r="C82" s="70">
        <f>+C83</f>
        <v>100000000</v>
      </c>
      <c r="D82" s="70">
        <f t="shared" ref="D82:G82" si="27">+D83</f>
        <v>0</v>
      </c>
      <c r="E82" s="70">
        <f t="shared" si="27"/>
        <v>0</v>
      </c>
      <c r="F82" s="70">
        <f t="shared" si="27"/>
        <v>100000000</v>
      </c>
      <c r="G82" s="70">
        <f t="shared" si="27"/>
        <v>0</v>
      </c>
      <c r="H82" s="139">
        <f t="shared" ref="H82:H88" si="28">+G82/F82</f>
        <v>0</v>
      </c>
      <c r="I82" s="24">
        <f>+I83</f>
        <v>0</v>
      </c>
      <c r="J82" s="24">
        <f t="shared" ref="J82:M82" si="29">+J83</f>
        <v>0</v>
      </c>
      <c r="K82" s="24">
        <f t="shared" si="29"/>
        <v>0</v>
      </c>
      <c r="L82" s="24">
        <f t="shared" si="29"/>
        <v>0</v>
      </c>
      <c r="M82" s="24">
        <f t="shared" si="29"/>
        <v>0</v>
      </c>
      <c r="N82" s="152"/>
      <c r="O82" s="148">
        <f>+O83</f>
        <v>100000000</v>
      </c>
      <c r="P82" s="148">
        <f t="shared" ref="P82:Q82" si="30">+P83</f>
        <v>0</v>
      </c>
      <c r="Q82" s="148">
        <f t="shared" si="30"/>
        <v>100000000</v>
      </c>
      <c r="R82" s="141">
        <f t="shared" ref="R82:R88" si="31">+P82/O82</f>
        <v>0</v>
      </c>
      <c r="S82" s="5"/>
      <c r="T82" s="5"/>
    </row>
    <row r="83" spans="1:20" s="25" customFormat="1" ht="23.25" customHeight="1">
      <c r="A83" s="26" t="s">
        <v>65</v>
      </c>
      <c r="B83" s="28" t="s">
        <v>56</v>
      </c>
      <c r="C83" s="29">
        <f>100000000</f>
        <v>100000000</v>
      </c>
      <c r="D83" s="29">
        <v>0</v>
      </c>
      <c r="E83" s="29">
        <v>0</v>
      </c>
      <c r="F83" s="29">
        <f t="shared" ref="F83:F88" si="32">+C83+D83-E83</f>
        <v>100000000</v>
      </c>
      <c r="G83" s="29">
        <v>0</v>
      </c>
      <c r="H83" s="135">
        <f t="shared" si="28"/>
        <v>0</v>
      </c>
      <c r="I83" s="26"/>
      <c r="J83" s="29"/>
      <c r="K83" s="29"/>
      <c r="L83" s="29"/>
      <c r="M83" s="29"/>
      <c r="N83" s="150"/>
      <c r="O83" s="26">
        <f>+L83+F83</f>
        <v>100000000</v>
      </c>
      <c r="P83" s="29">
        <f>+M83+G83</f>
        <v>0</v>
      </c>
      <c r="Q83" s="132">
        <f>+O83-P83</f>
        <v>100000000</v>
      </c>
      <c r="R83" s="135">
        <f t="shared" si="31"/>
        <v>0</v>
      </c>
      <c r="S83" s="5"/>
      <c r="T83" s="5"/>
    </row>
    <row r="84" spans="1:20" s="25" customFormat="1" ht="35.25" customHeight="1">
      <c r="A84" s="24"/>
      <c r="B84" s="27" t="s">
        <v>73</v>
      </c>
      <c r="C84" s="70">
        <f>SUM(C85:C88)</f>
        <v>1035000000</v>
      </c>
      <c r="D84" s="70">
        <f>SUM(D85:D88)</f>
        <v>0</v>
      </c>
      <c r="E84" s="70">
        <f>SUM(E85:E88)</f>
        <v>0</v>
      </c>
      <c r="F84" s="70">
        <f>SUM(F85:F88)</f>
        <v>1035000000</v>
      </c>
      <c r="G84" s="70">
        <f>SUM(G85:G88)</f>
        <v>489600000</v>
      </c>
      <c r="H84" s="139">
        <f t="shared" si="28"/>
        <v>0.47304347826086957</v>
      </c>
      <c r="I84" s="24">
        <f>SUM(I85:I88)</f>
        <v>0</v>
      </c>
      <c r="J84" s="70">
        <f>SUM(J85:J88)</f>
        <v>0</v>
      </c>
      <c r="K84" s="70">
        <f>SUM(K85:K88)</f>
        <v>0</v>
      </c>
      <c r="L84" s="70">
        <f>SUM(L85:L88)</f>
        <v>0</v>
      </c>
      <c r="M84" s="70">
        <f>SUM(M85:M88)</f>
        <v>0</v>
      </c>
      <c r="N84" s="152"/>
      <c r="O84" s="148">
        <f>SUM(O85:O88)</f>
        <v>1035000000</v>
      </c>
      <c r="P84" s="46">
        <f>SUM(P85:P88)</f>
        <v>489600000</v>
      </c>
      <c r="Q84" s="46">
        <f>SUM(Q85:Q88)</f>
        <v>545400000</v>
      </c>
      <c r="R84" s="142">
        <f t="shared" si="31"/>
        <v>0.47304347826086957</v>
      </c>
      <c r="S84" s="5"/>
      <c r="T84" s="5"/>
    </row>
    <row r="85" spans="1:20" s="25" customFormat="1" ht="24" customHeight="1">
      <c r="A85" s="26" t="s">
        <v>66</v>
      </c>
      <c r="B85" s="28" t="s">
        <v>57</v>
      </c>
      <c r="C85" s="29">
        <f>80000000</f>
        <v>80000000</v>
      </c>
      <c r="D85" s="29">
        <v>0</v>
      </c>
      <c r="E85" s="73">
        <v>0</v>
      </c>
      <c r="F85" s="29">
        <f t="shared" si="32"/>
        <v>80000000</v>
      </c>
      <c r="G85" s="29">
        <v>0</v>
      </c>
      <c r="H85" s="135">
        <f t="shared" si="28"/>
        <v>0</v>
      </c>
      <c r="I85" s="26"/>
      <c r="J85" s="29"/>
      <c r="K85" s="29"/>
      <c r="L85" s="29"/>
      <c r="M85" s="29"/>
      <c r="N85" s="150"/>
      <c r="O85" s="26">
        <f t="shared" ref="O85:P88" si="33">+L85+F85</f>
        <v>80000000</v>
      </c>
      <c r="P85" s="29">
        <f t="shared" si="33"/>
        <v>0</v>
      </c>
      <c r="Q85" s="132">
        <f t="shared" ref="Q85:Q88" si="34">+O85-P85</f>
        <v>80000000</v>
      </c>
      <c r="R85" s="135">
        <f t="shared" si="31"/>
        <v>0</v>
      </c>
      <c r="S85" s="5"/>
      <c r="T85" s="5"/>
    </row>
    <row r="86" spans="1:20" s="25" customFormat="1" ht="20.25" customHeight="1">
      <c r="A86" s="26" t="s">
        <v>67</v>
      </c>
      <c r="B86" s="28" t="s">
        <v>58</v>
      </c>
      <c r="C86" s="29">
        <f>300000000</f>
        <v>300000000</v>
      </c>
      <c r="D86" s="29">
        <v>0</v>
      </c>
      <c r="E86" s="29">
        <v>0</v>
      </c>
      <c r="F86" s="29">
        <f t="shared" si="32"/>
        <v>300000000</v>
      </c>
      <c r="G86" s="29">
        <v>0</v>
      </c>
      <c r="H86" s="135">
        <f t="shared" si="28"/>
        <v>0</v>
      </c>
      <c r="I86" s="26"/>
      <c r="J86" s="29"/>
      <c r="K86" s="29"/>
      <c r="L86" s="29"/>
      <c r="M86" s="29"/>
      <c r="N86" s="150"/>
      <c r="O86" s="26">
        <f t="shared" si="33"/>
        <v>300000000</v>
      </c>
      <c r="P86" s="29">
        <f t="shared" si="33"/>
        <v>0</v>
      </c>
      <c r="Q86" s="132">
        <f t="shared" si="34"/>
        <v>300000000</v>
      </c>
      <c r="R86" s="135">
        <f t="shared" si="31"/>
        <v>0</v>
      </c>
      <c r="S86" s="5"/>
      <c r="T86" s="5"/>
    </row>
    <row r="87" spans="1:20" s="25" customFormat="1" ht="13.15" customHeight="1">
      <c r="A87" s="26" t="s">
        <v>68</v>
      </c>
      <c r="B87" s="28" t="s">
        <v>74</v>
      </c>
      <c r="C87" s="29">
        <f>500000000+15000000</f>
        <v>515000000</v>
      </c>
      <c r="D87" s="29">
        <v>0</v>
      </c>
      <c r="E87" s="29">
        <v>0</v>
      </c>
      <c r="F87" s="29">
        <f t="shared" si="32"/>
        <v>515000000</v>
      </c>
      <c r="G87" s="29">
        <v>489600000</v>
      </c>
      <c r="H87" s="135">
        <f t="shared" si="28"/>
        <v>0.95067961165048542</v>
      </c>
      <c r="I87" s="26"/>
      <c r="J87" s="29"/>
      <c r="K87" s="29"/>
      <c r="L87" s="29"/>
      <c r="M87" s="29"/>
      <c r="N87" s="150"/>
      <c r="O87" s="26">
        <f t="shared" si="33"/>
        <v>515000000</v>
      </c>
      <c r="P87" s="29">
        <f t="shared" si="33"/>
        <v>489600000</v>
      </c>
      <c r="Q87" s="132">
        <f t="shared" si="34"/>
        <v>25400000</v>
      </c>
      <c r="R87" s="135">
        <f t="shared" si="31"/>
        <v>0.95067961165048542</v>
      </c>
      <c r="S87" s="5"/>
      <c r="T87" s="5"/>
    </row>
    <row r="88" spans="1:20" s="25" customFormat="1" ht="13.15" customHeight="1">
      <c r="A88" s="26" t="s">
        <v>69</v>
      </c>
      <c r="B88" s="28" t="s">
        <v>59</v>
      </c>
      <c r="C88" s="29">
        <f>140000000</f>
        <v>140000000</v>
      </c>
      <c r="D88" s="29">
        <v>0</v>
      </c>
      <c r="E88" s="29">
        <v>0</v>
      </c>
      <c r="F88" s="29">
        <f t="shared" si="32"/>
        <v>140000000</v>
      </c>
      <c r="G88" s="29">
        <v>0</v>
      </c>
      <c r="H88" s="135">
        <f t="shared" si="28"/>
        <v>0</v>
      </c>
      <c r="I88" s="26"/>
      <c r="J88" s="29"/>
      <c r="K88" s="29"/>
      <c r="L88" s="29"/>
      <c r="M88" s="29"/>
      <c r="N88" s="150"/>
      <c r="O88" s="26">
        <f t="shared" si="33"/>
        <v>140000000</v>
      </c>
      <c r="P88" s="29">
        <f t="shared" si="33"/>
        <v>0</v>
      </c>
      <c r="Q88" s="132">
        <f t="shared" si="34"/>
        <v>140000000</v>
      </c>
      <c r="R88" s="135">
        <f t="shared" si="31"/>
        <v>0</v>
      </c>
      <c r="S88" s="5"/>
      <c r="T88" s="5"/>
    </row>
    <row r="89" spans="1:20" s="25" customFormat="1" ht="13.15" customHeight="1" thickBot="1">
      <c r="A89" s="26"/>
      <c r="B89" s="28"/>
      <c r="C89" s="29"/>
      <c r="D89" s="29"/>
      <c r="E89" s="29"/>
      <c r="F89" s="29"/>
      <c r="G89" s="29"/>
      <c r="H89" s="30"/>
      <c r="I89" s="26"/>
      <c r="J89" s="29"/>
      <c r="K89" s="29"/>
      <c r="L89" s="29"/>
      <c r="M89" s="29"/>
      <c r="N89" s="30"/>
      <c r="O89" s="26"/>
      <c r="P89" s="29"/>
      <c r="Q89" s="132"/>
      <c r="R89" s="134"/>
      <c r="S89" s="5"/>
      <c r="T89" s="5"/>
    </row>
    <row r="90" spans="1:20" ht="13.5" thickBot="1">
      <c r="A90" s="20"/>
      <c r="B90" s="47" t="s">
        <v>9</v>
      </c>
      <c r="C90" s="48">
        <f t="shared" ref="C90:O90" si="35">+C43+C40</f>
        <v>96785718589</v>
      </c>
      <c r="D90" s="48">
        <f t="shared" si="35"/>
        <v>0</v>
      </c>
      <c r="E90" s="48">
        <f t="shared" si="35"/>
        <v>0</v>
      </c>
      <c r="F90" s="48">
        <f>+F43+F40</f>
        <v>96785718589</v>
      </c>
      <c r="G90" s="48">
        <f t="shared" si="35"/>
        <v>24729162531</v>
      </c>
      <c r="H90" s="48"/>
      <c r="I90" s="48">
        <f t="shared" si="35"/>
        <v>4898571340</v>
      </c>
      <c r="J90" s="48">
        <f t="shared" si="35"/>
        <v>0</v>
      </c>
      <c r="K90" s="48">
        <f t="shared" si="35"/>
        <v>0</v>
      </c>
      <c r="L90" s="48">
        <f t="shared" si="35"/>
        <v>4898571340</v>
      </c>
      <c r="M90" s="48">
        <f t="shared" si="35"/>
        <v>839211244</v>
      </c>
      <c r="N90" s="48"/>
      <c r="O90" s="48">
        <f t="shared" si="35"/>
        <v>101684289929</v>
      </c>
      <c r="P90" s="48">
        <f>+P43+P40</f>
        <v>25568373775</v>
      </c>
      <c r="Q90" s="48">
        <f>+Q43+Q40</f>
        <v>76115916154</v>
      </c>
      <c r="R90" s="143">
        <f>+P90/O90</f>
        <v>0.25144861406666508</v>
      </c>
      <c r="S90" s="11"/>
      <c r="T90" s="11"/>
    </row>
    <row r="91" spans="1:20">
      <c r="F91" s="11"/>
      <c r="G91" s="4"/>
      <c r="H91" s="11"/>
      <c r="O91" s="11"/>
      <c r="P91" s="11"/>
      <c r="Q91" s="11"/>
      <c r="R91" s="11"/>
    </row>
    <row r="92" spans="1:20">
      <c r="G92" s="4"/>
      <c r="H92" s="11"/>
      <c r="O92" s="200"/>
      <c r="P92" s="248"/>
    </row>
    <row r="93" spans="1:20" ht="13.5" thickBot="1">
      <c r="C93" s="68"/>
      <c r="F93" s="11"/>
      <c r="G93" s="4"/>
      <c r="H93" s="11"/>
      <c r="O93" s="11"/>
      <c r="P93" s="201"/>
    </row>
    <row r="94" spans="1:20" ht="13.5" thickBot="1">
      <c r="A94" s="223" t="s">
        <v>13</v>
      </c>
      <c r="B94" s="224"/>
      <c r="C94" s="224"/>
      <c r="D94" s="224"/>
      <c r="E94" s="224"/>
      <c r="F94" s="224"/>
      <c r="G94" s="225"/>
      <c r="L94" s="15"/>
      <c r="M94" s="15"/>
    </row>
    <row r="95" spans="1:20" ht="13.5" thickBot="1">
      <c r="A95" s="223" t="s">
        <v>227</v>
      </c>
      <c r="B95" s="224"/>
      <c r="C95" s="224"/>
      <c r="D95" s="224"/>
      <c r="E95" s="224"/>
      <c r="F95" s="224"/>
      <c r="G95" s="225"/>
      <c r="H95" s="15"/>
      <c r="L95" s="15"/>
      <c r="M95" s="15"/>
      <c r="O95" s="11"/>
      <c r="P95" s="11"/>
      <c r="R95" s="71"/>
    </row>
    <row r="96" spans="1:20" ht="13.5" thickBot="1">
      <c r="A96" s="223" t="s">
        <v>274</v>
      </c>
      <c r="B96" s="224"/>
      <c r="C96" s="224"/>
      <c r="D96" s="224"/>
      <c r="E96" s="224"/>
      <c r="F96" s="224"/>
      <c r="G96" s="225"/>
      <c r="H96" s="15"/>
      <c r="I96" s="15"/>
      <c r="J96" s="15"/>
      <c r="K96" s="15"/>
      <c r="L96" s="15"/>
      <c r="M96" s="15"/>
      <c r="O96" s="68"/>
      <c r="P96" s="11"/>
      <c r="R96" s="72"/>
    </row>
    <row r="97" spans="1:16" ht="13.5" thickBot="1">
      <c r="A97" s="223" t="s">
        <v>292</v>
      </c>
      <c r="B97" s="224"/>
      <c r="C97" s="224"/>
      <c r="D97" s="224"/>
      <c r="E97" s="224"/>
      <c r="F97" s="224"/>
      <c r="G97" s="225"/>
      <c r="H97" s="15"/>
      <c r="I97" s="15"/>
      <c r="J97" s="15"/>
      <c r="K97" s="15"/>
      <c r="L97" s="15"/>
      <c r="O97" s="11"/>
    </row>
    <row r="98" spans="1:16" ht="21.75" customHeight="1" thickBot="1">
      <c r="A98" s="176"/>
      <c r="B98" s="226" t="s">
        <v>3</v>
      </c>
      <c r="C98" s="228" t="s">
        <v>229</v>
      </c>
      <c r="D98" s="229"/>
      <c r="E98" s="229"/>
      <c r="F98" s="229"/>
      <c r="G98" s="230"/>
      <c r="O98" s="68"/>
      <c r="P98" s="69"/>
    </row>
    <row r="99" spans="1:16" ht="22.5" customHeight="1" thickBot="1">
      <c r="A99" s="22"/>
      <c r="B99" s="227"/>
      <c r="C99" s="189" t="s">
        <v>14</v>
      </c>
      <c r="D99" s="31" t="s">
        <v>84</v>
      </c>
      <c r="E99" s="31" t="s">
        <v>85</v>
      </c>
      <c r="F99" s="31" t="s">
        <v>15</v>
      </c>
      <c r="G99" s="31" t="s">
        <v>16</v>
      </c>
      <c r="P99" s="69"/>
    </row>
    <row r="100" spans="1:16" ht="36">
      <c r="A100" s="177" t="s">
        <v>209</v>
      </c>
      <c r="B100" s="178" t="s">
        <v>210</v>
      </c>
      <c r="C100" s="179">
        <v>40781172378</v>
      </c>
      <c r="D100" s="179">
        <v>0</v>
      </c>
      <c r="E100" s="179">
        <v>0</v>
      </c>
      <c r="F100" s="179">
        <f>+D100+C100</f>
        <v>40781172378</v>
      </c>
      <c r="G100" s="198">
        <v>40734120648</v>
      </c>
      <c r="O100" s="192"/>
      <c r="P100" s="69"/>
    </row>
    <row r="101" spans="1:16" ht="36">
      <c r="A101" s="26" t="s">
        <v>211</v>
      </c>
      <c r="B101" s="28" t="s">
        <v>212</v>
      </c>
      <c r="C101" s="29">
        <v>25375830600</v>
      </c>
      <c r="D101" s="29">
        <v>0</v>
      </c>
      <c r="E101" s="29">
        <v>0</v>
      </c>
      <c r="F101" s="29">
        <f>+D101+C101</f>
        <v>25375830600</v>
      </c>
      <c r="G101" s="132">
        <v>25328436664</v>
      </c>
      <c r="J101" s="11"/>
    </row>
    <row r="102" spans="1:16" ht="36.75" thickBot="1">
      <c r="A102" s="180" t="s">
        <v>213</v>
      </c>
      <c r="B102" s="181" t="s">
        <v>214</v>
      </c>
      <c r="C102" s="182">
        <v>12900605539</v>
      </c>
      <c r="D102" s="182">
        <v>0</v>
      </c>
      <c r="E102" s="182">
        <v>0</v>
      </c>
      <c r="F102" s="182">
        <f>+D102+C102</f>
        <v>12900605539</v>
      </c>
      <c r="G102" s="199">
        <v>12869613369</v>
      </c>
    </row>
    <row r="103" spans="1:16" ht="13.5" thickBot="1">
      <c r="A103" s="20"/>
      <c r="B103" s="47" t="s">
        <v>232</v>
      </c>
      <c r="C103" s="48">
        <f>SUM(C100:C102)</f>
        <v>79057608517</v>
      </c>
      <c r="D103" s="48">
        <f>SUM(D100:D102)</f>
        <v>0</v>
      </c>
      <c r="E103" s="48">
        <f>SUM(E100:E102)</f>
        <v>0</v>
      </c>
      <c r="F103" s="48">
        <f>SUM(F100:F102)</f>
        <v>79057608517</v>
      </c>
      <c r="G103" s="48">
        <f>SUM(G100:G102)</f>
        <v>78932170681</v>
      </c>
    </row>
    <row r="104" spans="1:16">
      <c r="G104" s="4"/>
    </row>
    <row r="105" spans="1:16">
      <c r="G105" s="11"/>
    </row>
    <row r="106" spans="1:16">
      <c r="G106" s="4"/>
    </row>
    <row r="107" spans="1:16">
      <c r="G107" s="4"/>
    </row>
    <row r="108" spans="1:16">
      <c r="G108" s="4"/>
    </row>
    <row r="109" spans="1:16">
      <c r="G109" s="4"/>
    </row>
    <row r="110" spans="1:16">
      <c r="G110" s="4"/>
    </row>
    <row r="111" spans="1:16">
      <c r="G111" s="4"/>
    </row>
    <row r="112" spans="1:16">
      <c r="G112" s="4"/>
    </row>
    <row r="113" spans="7:7">
      <c r="G113" s="4"/>
    </row>
    <row r="114" spans="7:7">
      <c r="G114" s="4"/>
    </row>
    <row r="115" spans="7:7">
      <c r="G115" s="4"/>
    </row>
    <row r="116" spans="7:7">
      <c r="G116" s="4"/>
    </row>
    <row r="117" spans="7:7">
      <c r="G117" s="4"/>
    </row>
    <row r="118" spans="7:7">
      <c r="G118" s="4"/>
    </row>
    <row r="119" spans="7:7">
      <c r="G119" s="4"/>
    </row>
    <row r="120" spans="7:7">
      <c r="G120" s="4"/>
    </row>
    <row r="121" spans="7:7">
      <c r="G121" s="4"/>
    </row>
    <row r="122" spans="7:7">
      <c r="G122" s="4"/>
    </row>
    <row r="123" spans="7:7">
      <c r="G123" s="4"/>
    </row>
    <row r="124" spans="7:7">
      <c r="G124" s="4"/>
    </row>
    <row r="125" spans="7:7">
      <c r="G125" s="4"/>
    </row>
    <row r="126" spans="7:7">
      <c r="G126" s="4"/>
    </row>
    <row r="127" spans="7:7">
      <c r="G127" s="4"/>
    </row>
    <row r="128" spans="7:7">
      <c r="G128" s="4"/>
    </row>
    <row r="129" spans="7:7">
      <c r="G129" s="4"/>
    </row>
    <row r="130" spans="7:7">
      <c r="G130" s="4"/>
    </row>
    <row r="131" spans="7:7">
      <c r="G131" s="4"/>
    </row>
    <row r="132" spans="7:7">
      <c r="G132" s="4"/>
    </row>
    <row r="133" spans="7:7">
      <c r="G133" s="4"/>
    </row>
    <row r="134" spans="7:7">
      <c r="G134" s="4"/>
    </row>
    <row r="135" spans="7:7">
      <c r="G135" s="4"/>
    </row>
    <row r="136" spans="7:7">
      <c r="G136" s="4"/>
    </row>
    <row r="137" spans="7:7">
      <c r="G137" s="4"/>
    </row>
    <row r="138" spans="7:7">
      <c r="G138" s="4"/>
    </row>
    <row r="139" spans="7:7">
      <c r="G139" s="4"/>
    </row>
    <row r="140" spans="7:7">
      <c r="G140" s="4"/>
    </row>
    <row r="141" spans="7:7">
      <c r="G141" s="4"/>
    </row>
    <row r="142" spans="7:7">
      <c r="G142" s="4"/>
    </row>
    <row r="143" spans="7:7">
      <c r="G143" s="4"/>
    </row>
    <row r="144" spans="7:7">
      <c r="G144" s="4"/>
    </row>
    <row r="145" spans="7:7">
      <c r="G145" s="4"/>
    </row>
    <row r="146" spans="7:7">
      <c r="G146" s="4"/>
    </row>
    <row r="147" spans="7:7">
      <c r="G147" s="4"/>
    </row>
    <row r="148" spans="7:7">
      <c r="G148" s="4"/>
    </row>
    <row r="149" spans="7:7">
      <c r="G149" s="4"/>
    </row>
    <row r="150" spans="7:7">
      <c r="G150" s="4"/>
    </row>
    <row r="151" spans="7:7">
      <c r="G151" s="4"/>
    </row>
    <row r="152" spans="7:7">
      <c r="G152" s="4"/>
    </row>
    <row r="153" spans="7:7">
      <c r="G153" s="4"/>
    </row>
    <row r="154" spans="7:7">
      <c r="G154" s="4"/>
    </row>
    <row r="155" spans="7:7">
      <c r="G155" s="4"/>
    </row>
    <row r="156" spans="7:7">
      <c r="G156" s="4"/>
    </row>
    <row r="157" spans="7:7">
      <c r="G157" s="4"/>
    </row>
    <row r="158" spans="7:7">
      <c r="G158" s="4"/>
    </row>
    <row r="159" spans="7:7">
      <c r="G159" s="4"/>
    </row>
    <row r="160" spans="7:7">
      <c r="G160" s="4"/>
    </row>
    <row r="161" spans="7:7">
      <c r="G161" s="4"/>
    </row>
    <row r="162" spans="7:7">
      <c r="G162" s="4"/>
    </row>
    <row r="163" spans="7:7">
      <c r="G163" s="4"/>
    </row>
    <row r="164" spans="7:7">
      <c r="G164" s="4"/>
    </row>
    <row r="165" spans="7:7">
      <c r="G165" s="4"/>
    </row>
    <row r="166" spans="7:7">
      <c r="G166" s="4"/>
    </row>
    <row r="167" spans="7:7">
      <c r="G167" s="4"/>
    </row>
    <row r="168" spans="7:7">
      <c r="G168" s="4"/>
    </row>
    <row r="169" spans="7:7">
      <c r="G169" s="4"/>
    </row>
    <row r="170" spans="7:7">
      <c r="G170" s="4"/>
    </row>
    <row r="171" spans="7:7">
      <c r="G171" s="4"/>
    </row>
    <row r="172" spans="7:7">
      <c r="G172" s="4"/>
    </row>
    <row r="173" spans="7:7">
      <c r="G173" s="4"/>
    </row>
    <row r="174" spans="7:7">
      <c r="G174" s="4"/>
    </row>
    <row r="175" spans="7:7">
      <c r="G175" s="4"/>
    </row>
    <row r="176" spans="7:7">
      <c r="G176" s="4"/>
    </row>
    <row r="177" spans="7:7">
      <c r="G177" s="4"/>
    </row>
    <row r="178" spans="7:7">
      <c r="G178" s="4"/>
    </row>
    <row r="179" spans="7:7">
      <c r="G179" s="4"/>
    </row>
    <row r="180" spans="7:7">
      <c r="G180" s="4"/>
    </row>
    <row r="181" spans="7:7">
      <c r="G181" s="4"/>
    </row>
    <row r="182" spans="7:7">
      <c r="G182" s="4"/>
    </row>
    <row r="183" spans="7:7">
      <c r="G183" s="4"/>
    </row>
    <row r="184" spans="7:7">
      <c r="G184" s="4"/>
    </row>
    <row r="185" spans="7:7">
      <c r="G185" s="4"/>
    </row>
    <row r="186" spans="7:7">
      <c r="G186" s="4"/>
    </row>
    <row r="187" spans="7:7">
      <c r="G187" s="4"/>
    </row>
    <row r="188" spans="7:7">
      <c r="G188" s="4"/>
    </row>
    <row r="189" spans="7:7">
      <c r="G189" s="4"/>
    </row>
    <row r="190" spans="7:7">
      <c r="G190" s="4"/>
    </row>
    <row r="191" spans="7:7">
      <c r="G191" s="4"/>
    </row>
    <row r="192" spans="7:7">
      <c r="G192" s="4"/>
    </row>
    <row r="193" spans="7:7">
      <c r="G193" s="4"/>
    </row>
    <row r="194" spans="7:7">
      <c r="G194" s="4"/>
    </row>
    <row r="195" spans="7:7">
      <c r="G195" s="4"/>
    </row>
    <row r="196" spans="7:7">
      <c r="G196" s="4"/>
    </row>
    <row r="197" spans="7:7">
      <c r="G197" s="4"/>
    </row>
    <row r="198" spans="7:7">
      <c r="G198" s="4"/>
    </row>
    <row r="199" spans="7:7">
      <c r="G199" s="4"/>
    </row>
    <row r="200" spans="7:7">
      <c r="G200" s="4"/>
    </row>
    <row r="201" spans="7:7">
      <c r="G201" s="4"/>
    </row>
    <row r="202" spans="7:7">
      <c r="G202" s="4"/>
    </row>
    <row r="203" spans="7:7">
      <c r="G203" s="4"/>
    </row>
    <row r="204" spans="7:7">
      <c r="G204" s="4"/>
    </row>
    <row r="205" spans="7:7">
      <c r="G205" s="4"/>
    </row>
    <row r="206" spans="7:7">
      <c r="G206" s="4"/>
    </row>
    <row r="207" spans="7:7">
      <c r="G207" s="4"/>
    </row>
    <row r="208" spans="7:7">
      <c r="G208" s="4"/>
    </row>
    <row r="209" spans="7:7">
      <c r="G209" s="4"/>
    </row>
    <row r="210" spans="7:7">
      <c r="G210" s="4"/>
    </row>
    <row r="211" spans="7:7">
      <c r="G211" s="4"/>
    </row>
    <row r="212" spans="7:7">
      <c r="G212" s="4"/>
    </row>
    <row r="213" spans="7:7">
      <c r="G213" s="4"/>
    </row>
    <row r="214" spans="7:7">
      <c r="G214" s="4"/>
    </row>
    <row r="215" spans="7:7">
      <c r="G215" s="4"/>
    </row>
    <row r="216" spans="7:7">
      <c r="G216" s="4"/>
    </row>
    <row r="217" spans="7:7">
      <c r="G217" s="4"/>
    </row>
    <row r="218" spans="7:7">
      <c r="G218" s="4"/>
    </row>
    <row r="219" spans="7:7">
      <c r="G219" s="4"/>
    </row>
    <row r="220" spans="7:7">
      <c r="G220" s="4"/>
    </row>
    <row r="221" spans="7:7">
      <c r="G221" s="4"/>
    </row>
    <row r="222" spans="7:7">
      <c r="G222" s="4"/>
    </row>
    <row r="223" spans="7:7">
      <c r="G223" s="4"/>
    </row>
    <row r="224" spans="7:7">
      <c r="G224" s="4"/>
    </row>
    <row r="225" spans="7:7">
      <c r="G225" s="4"/>
    </row>
    <row r="226" spans="7:7">
      <c r="G226" s="4"/>
    </row>
    <row r="227" spans="7:7">
      <c r="G227" s="4"/>
    </row>
    <row r="228" spans="7:7">
      <c r="G228" s="4"/>
    </row>
    <row r="229" spans="7:7">
      <c r="G229" s="4"/>
    </row>
    <row r="230" spans="7:7">
      <c r="G230" s="4"/>
    </row>
    <row r="231" spans="7:7">
      <c r="G231" s="4"/>
    </row>
    <row r="232" spans="7:7">
      <c r="G232" s="4"/>
    </row>
    <row r="233" spans="7:7">
      <c r="G233" s="4"/>
    </row>
    <row r="234" spans="7:7">
      <c r="G234" s="4"/>
    </row>
    <row r="235" spans="7:7">
      <c r="G235" s="4"/>
    </row>
    <row r="236" spans="7:7">
      <c r="G236" s="4"/>
    </row>
    <row r="237" spans="7:7">
      <c r="G237" s="4"/>
    </row>
    <row r="238" spans="7:7">
      <c r="G238" s="4"/>
    </row>
    <row r="239" spans="7:7">
      <c r="G239" s="4"/>
    </row>
    <row r="240" spans="7:7">
      <c r="G240" s="4"/>
    </row>
    <row r="241" spans="7:7">
      <c r="G241" s="4"/>
    </row>
    <row r="242" spans="7:7">
      <c r="G242" s="4"/>
    </row>
    <row r="243" spans="7:7">
      <c r="G243" s="4"/>
    </row>
    <row r="244" spans="7:7">
      <c r="G244" s="4"/>
    </row>
    <row r="245" spans="7:7">
      <c r="G245" s="4"/>
    </row>
    <row r="246" spans="7:7">
      <c r="G246" s="4"/>
    </row>
    <row r="247" spans="7:7">
      <c r="G247" s="4"/>
    </row>
    <row r="248" spans="7:7">
      <c r="G248" s="4"/>
    </row>
    <row r="249" spans="7:7">
      <c r="G249" s="4"/>
    </row>
    <row r="250" spans="7:7">
      <c r="G250" s="4"/>
    </row>
    <row r="251" spans="7:7">
      <c r="G251" s="4"/>
    </row>
    <row r="252" spans="7:7">
      <c r="G252" s="4"/>
    </row>
    <row r="253" spans="7:7">
      <c r="G253" s="4"/>
    </row>
    <row r="254" spans="7:7">
      <c r="G254" s="4"/>
    </row>
    <row r="255" spans="7:7">
      <c r="G255" s="4"/>
    </row>
    <row r="256" spans="7:7">
      <c r="G256" s="4"/>
    </row>
    <row r="257" spans="7:7">
      <c r="G257" s="4"/>
    </row>
    <row r="258" spans="7:7">
      <c r="G258" s="4"/>
    </row>
    <row r="259" spans="7:7">
      <c r="G259" s="4"/>
    </row>
    <row r="260" spans="7:7">
      <c r="G260" s="4"/>
    </row>
    <row r="261" spans="7:7">
      <c r="G261" s="4"/>
    </row>
    <row r="262" spans="7:7">
      <c r="G262" s="4"/>
    </row>
    <row r="263" spans="7:7">
      <c r="G263" s="4"/>
    </row>
    <row r="264" spans="7:7">
      <c r="G264" s="4"/>
    </row>
    <row r="265" spans="7:7">
      <c r="G265" s="4"/>
    </row>
    <row r="266" spans="7:7">
      <c r="G266" s="4"/>
    </row>
    <row r="267" spans="7:7">
      <c r="G267" s="4"/>
    </row>
    <row r="268" spans="7:7">
      <c r="G268" s="4"/>
    </row>
    <row r="269" spans="7:7">
      <c r="G269" s="4"/>
    </row>
    <row r="270" spans="7:7">
      <c r="G270" s="4"/>
    </row>
    <row r="271" spans="7:7">
      <c r="G271" s="4"/>
    </row>
    <row r="272" spans="7:7">
      <c r="G272" s="4"/>
    </row>
    <row r="273" spans="7:7">
      <c r="G273" s="4"/>
    </row>
    <row r="274" spans="7:7">
      <c r="G274" s="4"/>
    </row>
    <row r="275" spans="7:7">
      <c r="G275" s="4"/>
    </row>
    <row r="276" spans="7:7">
      <c r="G276" s="4"/>
    </row>
    <row r="277" spans="7:7">
      <c r="G277" s="4"/>
    </row>
    <row r="278" spans="7:7">
      <c r="G278" s="4"/>
    </row>
    <row r="279" spans="7:7">
      <c r="G279" s="4"/>
    </row>
    <row r="280" spans="7:7">
      <c r="G280" s="4"/>
    </row>
    <row r="281" spans="7:7">
      <c r="G281" s="4"/>
    </row>
    <row r="282" spans="7:7">
      <c r="G282" s="4"/>
    </row>
    <row r="283" spans="7:7">
      <c r="G283" s="4"/>
    </row>
    <row r="284" spans="7:7">
      <c r="G284" s="4"/>
    </row>
    <row r="285" spans="7:7">
      <c r="G285" s="4"/>
    </row>
    <row r="286" spans="7:7">
      <c r="G286" s="4"/>
    </row>
    <row r="287" spans="7:7">
      <c r="G287" s="4"/>
    </row>
    <row r="288" spans="7:7">
      <c r="G288" s="4"/>
    </row>
    <row r="289" spans="7:7">
      <c r="G289" s="4"/>
    </row>
    <row r="290" spans="7:7">
      <c r="G290" s="4"/>
    </row>
    <row r="291" spans="7:7">
      <c r="G291" s="4"/>
    </row>
    <row r="292" spans="7:7">
      <c r="G292" s="4"/>
    </row>
    <row r="293" spans="7:7">
      <c r="G293" s="4"/>
    </row>
    <row r="294" spans="7:7">
      <c r="G294" s="4"/>
    </row>
    <row r="295" spans="7:7">
      <c r="G295" s="4"/>
    </row>
    <row r="296" spans="7:7">
      <c r="G296" s="4"/>
    </row>
    <row r="297" spans="7:7">
      <c r="G297" s="4"/>
    </row>
    <row r="298" spans="7:7">
      <c r="G298" s="4"/>
    </row>
    <row r="299" spans="7:7">
      <c r="G299" s="4"/>
    </row>
    <row r="300" spans="7:7">
      <c r="G300" s="4"/>
    </row>
    <row r="301" spans="7:7">
      <c r="G301" s="4"/>
    </row>
    <row r="302" spans="7:7">
      <c r="G302" s="4"/>
    </row>
    <row r="303" spans="7:7">
      <c r="G303" s="4"/>
    </row>
    <row r="304" spans="7:7">
      <c r="G304" s="4"/>
    </row>
    <row r="305" spans="7:7">
      <c r="G305" s="4"/>
    </row>
    <row r="306" spans="7:7">
      <c r="G306" s="4"/>
    </row>
    <row r="307" spans="7:7">
      <c r="G307" s="4"/>
    </row>
    <row r="308" spans="7:7">
      <c r="G308" s="4"/>
    </row>
    <row r="309" spans="7:7">
      <c r="G309" s="4"/>
    </row>
    <row r="310" spans="7:7">
      <c r="G310" s="4"/>
    </row>
    <row r="311" spans="7:7">
      <c r="G311" s="4"/>
    </row>
    <row r="312" spans="7:7">
      <c r="G312" s="4"/>
    </row>
    <row r="313" spans="7:7">
      <c r="G313" s="4"/>
    </row>
    <row r="314" spans="7:7">
      <c r="G314" s="4"/>
    </row>
    <row r="315" spans="7:7">
      <c r="G315" s="4"/>
    </row>
    <row r="316" spans="7:7">
      <c r="G316" s="4"/>
    </row>
    <row r="317" spans="7:7">
      <c r="G317" s="4"/>
    </row>
    <row r="318" spans="7:7">
      <c r="G318" s="4"/>
    </row>
    <row r="319" spans="7:7">
      <c r="G319" s="4"/>
    </row>
    <row r="320" spans="7:7">
      <c r="G320" s="4"/>
    </row>
    <row r="321" spans="7:7">
      <c r="G321" s="4"/>
    </row>
    <row r="322" spans="7:7">
      <c r="G322" s="4"/>
    </row>
    <row r="323" spans="7:7">
      <c r="G323" s="4"/>
    </row>
    <row r="324" spans="7:7">
      <c r="G324" s="4"/>
    </row>
    <row r="325" spans="7:7">
      <c r="G325" s="4"/>
    </row>
    <row r="326" spans="7:7">
      <c r="G326" s="4"/>
    </row>
    <row r="327" spans="7:7">
      <c r="G327" s="4"/>
    </row>
    <row r="328" spans="7:7">
      <c r="G328" s="4"/>
    </row>
    <row r="329" spans="7:7">
      <c r="G329" s="4"/>
    </row>
    <row r="330" spans="7:7">
      <c r="G330" s="4"/>
    </row>
    <row r="331" spans="7:7">
      <c r="G331" s="4"/>
    </row>
    <row r="332" spans="7:7">
      <c r="G332" s="4"/>
    </row>
    <row r="333" spans="7:7">
      <c r="G333" s="4"/>
    </row>
    <row r="334" spans="7:7">
      <c r="G334" s="4"/>
    </row>
    <row r="335" spans="7:7">
      <c r="G335" s="4"/>
    </row>
    <row r="336" spans="7:7">
      <c r="G336" s="4"/>
    </row>
    <row r="337" spans="7:7">
      <c r="G337" s="4"/>
    </row>
    <row r="338" spans="7:7">
      <c r="G338" s="4"/>
    </row>
    <row r="339" spans="7:7">
      <c r="G339" s="4"/>
    </row>
    <row r="340" spans="7:7">
      <c r="G340" s="4"/>
    </row>
    <row r="341" spans="7:7">
      <c r="G341" s="4"/>
    </row>
    <row r="342" spans="7:7">
      <c r="G342" s="4"/>
    </row>
  </sheetData>
  <mergeCells count="15">
    <mergeCell ref="B6:B7"/>
    <mergeCell ref="C6:G6"/>
    <mergeCell ref="I6:M6"/>
    <mergeCell ref="O6:R6"/>
    <mergeCell ref="A1:R1"/>
    <mergeCell ref="A2:R2"/>
    <mergeCell ref="A3:R3"/>
    <mergeCell ref="A4:R4"/>
    <mergeCell ref="A5:R5"/>
    <mergeCell ref="A94:G94"/>
    <mergeCell ref="A95:G95"/>
    <mergeCell ref="A96:G96"/>
    <mergeCell ref="A97:G97"/>
    <mergeCell ref="B98:B99"/>
    <mergeCell ref="C98:G98"/>
  </mergeCells>
  <pageMargins left="0.31496062992125984" right="0.35433070866141736" top="0.39370078740157483" bottom="0.27559055118110237" header="0.51181102362204722" footer="0.15748031496062992"/>
  <pageSetup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FEBRERO 2022</vt:lpstr>
      <vt:lpstr>GASTOS FEBRERO 2022</vt:lpstr>
      <vt:lpstr>'GASTOS FEBRERO 2022'!Área_de_impresión</vt:lpstr>
      <vt:lpstr>'INGRESOS FEBRERO 2022'!Área_de_impresión</vt:lpstr>
      <vt:lpstr>'GASTOS FEBRERO 2022'!Títulos_a_imprimir</vt:lpstr>
      <vt:lpstr>'INGRESOS FEBRERO 2022'!Títulos_a_imprimir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PC-1</cp:lastModifiedBy>
  <cp:lastPrinted>2022-01-28T16:48:55Z</cp:lastPrinted>
  <dcterms:created xsi:type="dcterms:W3CDTF">2004-01-28T22:51:19Z</dcterms:created>
  <dcterms:modified xsi:type="dcterms:W3CDTF">2022-04-01T03:55:55Z</dcterms:modified>
</cp:coreProperties>
</file>