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arlos A\Documents\PC CARLOS\CORPAMAG\SEGUIMIENTO METAS PAI 2020-2023\INFORMES SEGUIMIENTO 2022 PAI\SOPORTES INFORMES SS 2022\"/>
    </mc:Choice>
  </mc:AlternateContent>
  <bookViews>
    <workbookView xWindow="0" yWindow="0" windowWidth="13980" windowHeight="11310" tabRatio="863" activeTab="1"/>
  </bookViews>
  <sheets>
    <sheet name="Datos Generales" sheetId="38" r:id="rId1"/>
    <sheet name="Anexo 1 Matriz Inf Gestión CARd" sheetId="34" r:id="rId2"/>
    <sheet name="Anexo 2 Protocolo Inf Gestión" sheetId="35" r:id="rId3"/>
    <sheet name="Anexo 5.1 INGRESOS" sheetId="55" r:id="rId4"/>
    <sheet name="Anexo 5.2. informe Gastos" sheetId="56" r:id="rId5"/>
    <sheet name="Anexo 5.2A_REV" sheetId="57" r:id="rId6"/>
    <sheet name="Hoja1" sheetId="41" state="hidden" r:id="rId7"/>
    <sheet name="Anexo 3 Matriz IMG" sheetId="19" r:id="rId8"/>
    <sheet name="1POMCAS" sheetId="1" r:id="rId9"/>
    <sheet name="2PORH" sheetId="2" r:id="rId10"/>
    <sheet name="3PSMV" sheetId="3" r:id="rId11"/>
    <sheet name="4UsoAguas" sheetId="4" r:id="rId12"/>
    <sheet name="5PUEAA" sheetId="5" r:id="rId13"/>
    <sheet name="6POMCASejec" sheetId="6" r:id="rId14"/>
    <sheet name="7Clima" sheetId="8" r:id="rId15"/>
    <sheet name="8Suelo" sheetId="9" r:id="rId16"/>
    <sheet name="9RUNAP" sheetId="10" r:id="rId17"/>
    <sheet name="10Paramos" sheetId="11" r:id="rId18"/>
    <sheet name="11Forest" sheetId="12" r:id="rId19"/>
    <sheet name="12PlanesAP" sheetId="13" r:id="rId20"/>
    <sheet name="13Amenaz" sheetId="14" r:id="rId21"/>
    <sheet name="14Invasor" sheetId="15" r:id="rId22"/>
    <sheet name="15Restaura" sheetId="16" r:id="rId23"/>
    <sheet name="16MIZC" sheetId="17" r:id="rId24"/>
    <sheet name="17PGIRS" sheetId="18" r:id="rId25"/>
    <sheet name="18Sector" sheetId="20" r:id="rId26"/>
    <sheet name="19GAU" sheetId="21" r:id="rId27"/>
    <sheet name="20Negoc" sheetId="22" r:id="rId28"/>
    <sheet name="21TiempoT" sheetId="23" r:id="rId29"/>
    <sheet name="22Autor" sheetId="24" r:id="rId30"/>
    <sheet name="23Sanc" sheetId="25" r:id="rId31"/>
    <sheet name="24POT" sheetId="26" r:id="rId32"/>
    <sheet name="25Redes" sheetId="27" r:id="rId33"/>
    <sheet name="26SIAC" sheetId="28" r:id="rId34"/>
    <sheet name="27Educa" sheetId="29" r:id="rId35"/>
    <sheet name="Observa" sheetId="32" r:id="rId36"/>
    <sheet name="Formulas" sheetId="33" r:id="rId37"/>
  </sheets>
  <externalReferences>
    <externalReference r:id="rId38"/>
    <externalReference r:id="rId39"/>
    <externalReference r:id="rId40"/>
    <externalReference r:id="rId41"/>
    <externalReference r:id="rId42"/>
  </externalReferences>
  <definedNames>
    <definedName name="_xlnm._FilterDatabase" localSheetId="10" hidden="1">'3PSMV'!$E$6:$E$75</definedName>
    <definedName name="_xlnm._FilterDatabase" localSheetId="3" hidden="1">'Anexo 5.1 INGRESOS'!$A$6:$BZ$532</definedName>
    <definedName name="_xlnm._FilterDatabase" localSheetId="5" hidden="1">'Anexo 5.2A_REV'!$EJ$1:$EJ$108</definedName>
    <definedName name="_Toc467769469" localSheetId="9">'2PORH'!#REF!</definedName>
    <definedName name="_Toc467769470" localSheetId="10">'3PSMV'!#REF!</definedName>
    <definedName name="_Toc467769471" localSheetId="11">'4UsoAguas'!#REF!</definedName>
    <definedName name="_Toc467769472" localSheetId="12">'5PUEAA'!#REF!</definedName>
    <definedName name="_Toc467769473" localSheetId="13">'6POMCASejec'!#REF!</definedName>
    <definedName name="_Toc467769474" localSheetId="14">'7Clima'!#REF!</definedName>
    <definedName name="_Toc467769475" localSheetId="15">'8Suelo'!#REF!</definedName>
    <definedName name="_Toc467769476" localSheetId="16">'9RUNAP'!$B$6</definedName>
    <definedName name="_Toc467769477" localSheetId="17">'10Paramos'!#REF!</definedName>
    <definedName name="_Toc467769478" localSheetId="18">'11Forest'!#REF!</definedName>
    <definedName name="_Toc467769479" localSheetId="19">'12PlanesAP'!#REF!</definedName>
    <definedName name="_Toc467769480" localSheetId="20">'13Amenaz'!#REF!</definedName>
    <definedName name="_Toc467769481" localSheetId="21">'14Invasor'!#REF!</definedName>
    <definedName name="_Toc467769482" localSheetId="22">'15Restaura'!#REF!</definedName>
    <definedName name="_Toc467769483" localSheetId="23">'16MIZC'!#REF!</definedName>
    <definedName name="_Toc467769484" localSheetId="24">'17PGIRS'!#REF!</definedName>
    <definedName name="_Toc467769485" localSheetId="25">'18Sector'!#REF!</definedName>
    <definedName name="_Toc467769486" localSheetId="26">'19GAU'!#REF!</definedName>
    <definedName name="_Toc467769487" localSheetId="27">'20Negoc'!#REF!</definedName>
    <definedName name="_Toc467769488" localSheetId="28">'21TiempoT'!#REF!</definedName>
    <definedName name="_Toc467769489" localSheetId="29">'22Autor'!#REF!</definedName>
    <definedName name="_Toc467769490" localSheetId="30">'23Sanc'!#REF!</definedName>
    <definedName name="_Toc467769491" localSheetId="31">'24POT'!#REF!</definedName>
    <definedName name="_Toc467769492" localSheetId="32">'25Redes'!#REF!</definedName>
    <definedName name="_Toc467769493" localSheetId="33">'26SIAC'!#REF!</definedName>
    <definedName name="_Toc467769494" localSheetId="34">'27Educa'!#REF!</definedName>
    <definedName name="_xlnm.Print_Area" localSheetId="1">'Anexo 1 Matriz Inf Gestión CARd'!$A$1:$AU$166</definedName>
    <definedName name="_xlnm.Print_Area" localSheetId="2">'Anexo 2 Protocolo Inf Gestión'!#REF!</definedName>
    <definedName name="_xlnm.Print_Area" localSheetId="7">'Anexo 3 Matriz IMG'!$A$1:$P$32</definedName>
    <definedName name="_xlnm.Print_Area" localSheetId="3">'Anexo 5.1 INGRESOS'!#REF!</definedName>
    <definedName name="_xlnm.Print_Area" localSheetId="4">'Anexo 5.2. informe Gastos'!#REF!</definedName>
    <definedName name="ing">'[1]Datos Generales'!$H$5:$H$36</definedName>
    <definedName name="Lista_CAR" localSheetId="3">'[2]Datos Generales'!$H$5:$H$37</definedName>
    <definedName name="Lista_CAR" localSheetId="4">'[3]Datos Generales'!$H$5:$H$37</definedName>
    <definedName name="Lista_CAR" localSheetId="5">'[4]Datos Generales'!$H$5:$H$36</definedName>
    <definedName name="Lista_CAR">'Datos Generales'!$H$5:$H$36</definedName>
    <definedName name="REPORTE" comment="SI SE REPORTA" localSheetId="3">[2]Formulas!$F$33:$F$34</definedName>
    <definedName name="REPORTE" comment="SI SE REPORTA" localSheetId="4">#REF!</definedName>
    <definedName name="REPORTE" comment="SI SE REPORTA" localSheetId="5">[4]Formulas!$F$33:$F$34</definedName>
    <definedName name="REPORTE" comment="SI SE REPORTA">Formulas!$F$33:$F$34</definedName>
    <definedName name="SI" comment="OPCION SI O NO" localSheetId="3">[2]Formulas!$D$33:$D$34</definedName>
    <definedName name="SI" comment="OPCION SI O NO" localSheetId="4">#REF!</definedName>
    <definedName name="SI" comment="OPCION SI O NO" localSheetId="5">[4]Formulas!$D$33:$D$34</definedName>
    <definedName name="SI" comment="OPCION SI O NO">Formulas!$D$33:$D$34</definedName>
    <definedName name="_xlnm.Print_Titles" localSheetId="1">'Anexo 1 Matriz Inf Gestión CARd'!$1:$6</definedName>
    <definedName name="Vigencias">'Datos Generales'!$H$38:$H$45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53" i="55" l="1"/>
  <c r="AM119" i="34" l="1"/>
  <c r="AL119" i="34"/>
  <c r="AL41" i="34"/>
  <c r="AM16" i="34"/>
  <c r="AL10" i="34"/>
  <c r="AM141" i="34"/>
  <c r="AL141" i="34"/>
  <c r="AM135" i="34"/>
  <c r="AL135" i="34"/>
  <c r="AK124" i="34"/>
  <c r="AJ124" i="34"/>
  <c r="AK52" i="34"/>
  <c r="AJ52" i="34"/>
  <c r="AM52" i="34"/>
  <c r="AL52" i="34"/>
  <c r="AL61" i="34"/>
  <c r="AK41" i="34"/>
  <c r="AJ41" i="34"/>
  <c r="AL124" i="34"/>
  <c r="AM116" i="34"/>
  <c r="AL116" i="34"/>
  <c r="AL83" i="34"/>
  <c r="AL16" i="34" l="1"/>
  <c r="AI164" i="34" l="1"/>
  <c r="AI153" i="34"/>
  <c r="AI148" i="34"/>
  <c r="AI141" i="34"/>
  <c r="AI135" i="34"/>
  <c r="AI131" i="34"/>
  <c r="AI128" i="34"/>
  <c r="AI124" i="34"/>
  <c r="AI116" i="34"/>
  <c r="AI112" i="34"/>
  <c r="AI106" i="34"/>
  <c r="AI102" i="34"/>
  <c r="AI96" i="34"/>
  <c r="AI83" i="34"/>
  <c r="AI76" i="34"/>
  <c r="AI70" i="34"/>
  <c r="AI67" i="34"/>
  <c r="AI61" i="34"/>
  <c r="AJ57" i="34"/>
  <c r="AG57" i="34"/>
  <c r="AI59" i="34"/>
  <c r="AI58" i="34"/>
  <c r="AI52" i="34"/>
  <c r="AI41" i="34"/>
  <c r="AI34" i="34"/>
  <c r="AI31" i="34"/>
  <c r="AI23" i="34"/>
  <c r="AI16" i="34"/>
  <c r="AI10" i="34"/>
  <c r="EI102" i="57" l="1"/>
  <c r="DW101" i="57"/>
  <c r="DS101" i="57"/>
  <c r="DO101" i="57"/>
  <c r="DK101" i="57"/>
  <c r="DG101" i="57"/>
  <c r="DC101" i="57"/>
  <c r="CY101" i="57"/>
  <c r="CU101" i="57"/>
  <c r="CE101" i="57"/>
  <c r="CA101" i="57"/>
  <c r="BW101" i="57"/>
  <c r="BO101" i="57"/>
  <c r="BK101" i="57"/>
  <c r="BC101" i="57"/>
  <c r="AU101" i="57"/>
  <c r="AQ101" i="57"/>
  <c r="AM101" i="57"/>
  <c r="AA101" i="57"/>
  <c r="W101" i="57"/>
  <c r="K101" i="57"/>
  <c r="EI98" i="57"/>
  <c r="EH98" i="57"/>
  <c r="EG98" i="57"/>
  <c r="EF98" i="57"/>
  <c r="EE98" i="57"/>
  <c r="EH97" i="57"/>
  <c r="EG97" i="57"/>
  <c r="EF97" i="57"/>
  <c r="EE97" i="57"/>
  <c r="EI97" i="57" s="1"/>
  <c r="EH96" i="57"/>
  <c r="EG96" i="57"/>
  <c r="EF96" i="57"/>
  <c r="EE96" i="57"/>
  <c r="EI96" i="57" s="1"/>
  <c r="EH95" i="57"/>
  <c r="EG95" i="57"/>
  <c r="EF95" i="57"/>
  <c r="EE95" i="57"/>
  <c r="EI95" i="57" s="1"/>
  <c r="B95" i="57"/>
  <c r="ED94" i="57"/>
  <c r="EC94" i="57"/>
  <c r="EB94" i="57"/>
  <c r="EA94" i="57"/>
  <c r="DZ94" i="57"/>
  <c r="DY94" i="57"/>
  <c r="DX94" i="57"/>
  <c r="DW94" i="57"/>
  <c r="DV94" i="57"/>
  <c r="DU94" i="57"/>
  <c r="DT94" i="57"/>
  <c r="DS94" i="57"/>
  <c r="DR94" i="57"/>
  <c r="DQ94" i="57"/>
  <c r="DP94" i="57"/>
  <c r="DO94" i="57"/>
  <c r="DN94" i="57"/>
  <c r="DM94" i="57"/>
  <c r="DL94" i="57"/>
  <c r="DK94" i="57"/>
  <c r="DJ94" i="57"/>
  <c r="DI94" i="57"/>
  <c r="DH94" i="57"/>
  <c r="DG94" i="57"/>
  <c r="DF94" i="57"/>
  <c r="DE94" i="57"/>
  <c r="DD94" i="57"/>
  <c r="DC94" i="57"/>
  <c r="DB94" i="57"/>
  <c r="DA94" i="57"/>
  <c r="CZ94" i="57"/>
  <c r="CY94" i="57"/>
  <c r="CX94" i="57"/>
  <c r="CW94" i="57"/>
  <c r="CV94" i="57"/>
  <c r="CU94" i="57"/>
  <c r="CT94" i="57"/>
  <c r="CS94" i="57"/>
  <c r="CR94" i="57"/>
  <c r="CQ94" i="57"/>
  <c r="CP94" i="57"/>
  <c r="CP83" i="57" s="1"/>
  <c r="CP82" i="57" s="1"/>
  <c r="CO94" i="57"/>
  <c r="CN94" i="57"/>
  <c r="CM94" i="57"/>
  <c r="CL94" i="57"/>
  <c r="CK94" i="57"/>
  <c r="CJ94" i="57"/>
  <c r="CI94" i="57"/>
  <c r="CH94" i="57"/>
  <c r="CG94" i="57"/>
  <c r="CF94" i="57"/>
  <c r="CE94" i="57"/>
  <c r="CD94" i="57"/>
  <c r="CC94" i="57"/>
  <c r="CB94" i="57"/>
  <c r="CA94" i="57"/>
  <c r="BZ94" i="57"/>
  <c r="BY94" i="57"/>
  <c r="BX94" i="57"/>
  <c r="BW94" i="57"/>
  <c r="BV94" i="57"/>
  <c r="BU94" i="57"/>
  <c r="BT94" i="57"/>
  <c r="BS94" i="57"/>
  <c r="BR94" i="57"/>
  <c r="BQ94" i="57"/>
  <c r="BP94" i="57"/>
  <c r="BO94" i="57"/>
  <c r="BN94" i="57"/>
  <c r="BM94" i="57"/>
  <c r="BL94" i="57"/>
  <c r="BK94" i="57"/>
  <c r="BJ94" i="57"/>
  <c r="BI94" i="57"/>
  <c r="BH94" i="57"/>
  <c r="BG94" i="57"/>
  <c r="BF94" i="57"/>
  <c r="BE94" i="57"/>
  <c r="BD94" i="57"/>
  <c r="BC94" i="57"/>
  <c r="BB94" i="57"/>
  <c r="BA94" i="57"/>
  <c r="AZ94" i="57"/>
  <c r="AY94" i="57"/>
  <c r="AX94" i="57"/>
  <c r="AW94" i="57"/>
  <c r="AV94" i="57"/>
  <c r="AU94" i="57"/>
  <c r="AT94" i="57"/>
  <c r="AT83" i="57" s="1"/>
  <c r="AT82" i="57" s="1"/>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T94" i="57"/>
  <c r="S94" i="57"/>
  <c r="R94" i="57"/>
  <c r="Q94" i="57"/>
  <c r="P94" i="57"/>
  <c r="O94" i="57"/>
  <c r="N94" i="57"/>
  <c r="M94" i="57"/>
  <c r="L94" i="57"/>
  <c r="K94" i="57"/>
  <c r="J94" i="57"/>
  <c r="EH94" i="57" s="1"/>
  <c r="I94" i="57"/>
  <c r="H94" i="57"/>
  <c r="EF94" i="57" s="1"/>
  <c r="G94" i="57"/>
  <c r="EE94" i="57" s="1"/>
  <c r="EI94" i="57" s="1"/>
  <c r="F94" i="57"/>
  <c r="E94" i="57"/>
  <c r="D94" i="57"/>
  <c r="C94" i="57"/>
  <c r="B94" i="57"/>
  <c r="EH93" i="57"/>
  <c r="EG93" i="57"/>
  <c r="EF93" i="57"/>
  <c r="EE93" i="57"/>
  <c r="CQ93" i="57"/>
  <c r="CQ92" i="57" s="1"/>
  <c r="B93" i="57"/>
  <c r="ED92" i="57"/>
  <c r="ED83" i="57" s="1"/>
  <c r="ED82" i="57" s="1"/>
  <c r="EC92" i="57"/>
  <c r="EB92" i="57"/>
  <c r="EA92" i="57"/>
  <c r="DZ92" i="57"/>
  <c r="DY92" i="57"/>
  <c r="DY83" i="57" s="1"/>
  <c r="DY82" i="57" s="1"/>
  <c r="DX92" i="57"/>
  <c r="DW92" i="57"/>
  <c r="DV92" i="57"/>
  <c r="DU92" i="57"/>
  <c r="DT92" i="57"/>
  <c r="DS92" i="57"/>
  <c r="DR92" i="57"/>
  <c r="DQ92" i="57"/>
  <c r="DP92" i="57"/>
  <c r="DO92" i="57"/>
  <c r="DN92" i="57"/>
  <c r="DM92" i="57"/>
  <c r="DL92" i="57"/>
  <c r="DK92" i="57"/>
  <c r="DJ92" i="57"/>
  <c r="DI92" i="57"/>
  <c r="DH92" i="57"/>
  <c r="DG92" i="57"/>
  <c r="DF92" i="57"/>
  <c r="DF83" i="57" s="1"/>
  <c r="DF82" i="57" s="1"/>
  <c r="DE92" i="57"/>
  <c r="DD92" i="57"/>
  <c r="DC92" i="57"/>
  <c r="DB92" i="57"/>
  <c r="DA92" i="57"/>
  <c r="CZ92" i="57"/>
  <c r="CY92" i="57"/>
  <c r="CX92" i="57"/>
  <c r="CW92" i="57"/>
  <c r="CV92" i="57"/>
  <c r="CU92" i="57"/>
  <c r="CT92" i="57"/>
  <c r="CS92" i="57"/>
  <c r="CR92" i="57"/>
  <c r="CP92" i="57"/>
  <c r="CO92" i="57"/>
  <c r="CN92" i="57"/>
  <c r="CM92" i="57"/>
  <c r="CL92" i="57"/>
  <c r="CK92" i="57"/>
  <c r="CJ92" i="57"/>
  <c r="CI92" i="57"/>
  <c r="CH92" i="57"/>
  <c r="CH83" i="57" s="1"/>
  <c r="CH82" i="57" s="1"/>
  <c r="CG92" i="57"/>
  <c r="CF92" i="57"/>
  <c r="CE92" i="57"/>
  <c r="CD92" i="57"/>
  <c r="CC92" i="57"/>
  <c r="CB92" i="57"/>
  <c r="CA92" i="57"/>
  <c r="BZ92" i="57"/>
  <c r="BY92" i="57"/>
  <c r="BX92" i="57"/>
  <c r="BW92" i="57"/>
  <c r="BV92" i="57"/>
  <c r="BU92" i="57"/>
  <c r="BT92" i="57"/>
  <c r="BS92" i="57"/>
  <c r="BR92" i="57"/>
  <c r="BQ92" i="57"/>
  <c r="BP92" i="57"/>
  <c r="BO92" i="57"/>
  <c r="BN92" i="57"/>
  <c r="BM92" i="57"/>
  <c r="BL92" i="57"/>
  <c r="BK92" i="57"/>
  <c r="BJ92" i="57"/>
  <c r="BI92" i="57"/>
  <c r="BH92" i="57"/>
  <c r="BG92" i="57"/>
  <c r="BF92" i="57"/>
  <c r="BE92"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T92" i="57"/>
  <c r="S92" i="57"/>
  <c r="R92" i="57"/>
  <c r="Q92" i="57"/>
  <c r="P92" i="57"/>
  <c r="O92" i="57"/>
  <c r="N92" i="57"/>
  <c r="M92" i="57"/>
  <c r="L92" i="57"/>
  <c r="K92" i="57"/>
  <c r="J92" i="57"/>
  <c r="I92" i="57"/>
  <c r="H92" i="57"/>
  <c r="G92" i="57"/>
  <c r="F92" i="57"/>
  <c r="E92" i="57"/>
  <c r="D92" i="57"/>
  <c r="C92" i="57"/>
  <c r="EE92" i="57" s="1"/>
  <c r="EI92" i="57" s="1"/>
  <c r="B92" i="57"/>
  <c r="DB91" i="57"/>
  <c r="EH91" i="57" s="1"/>
  <c r="DA91" i="57"/>
  <c r="EG91" i="57" s="1"/>
  <c r="CZ91" i="57"/>
  <c r="CY91" i="57"/>
  <c r="B91" i="57"/>
  <c r="B90" i="57" s="1"/>
  <c r="ED90" i="57"/>
  <c r="EC90" i="57"/>
  <c r="EB90" i="57"/>
  <c r="EA90" i="57"/>
  <c r="DZ90" i="57"/>
  <c r="DY90" i="57"/>
  <c r="DX90" i="57"/>
  <c r="DW90" i="57"/>
  <c r="DV90" i="57"/>
  <c r="DU90" i="57"/>
  <c r="DT90" i="57"/>
  <c r="DS90" i="57"/>
  <c r="DR90" i="57"/>
  <c r="DQ90" i="57"/>
  <c r="DP90" i="57"/>
  <c r="DO90" i="57"/>
  <c r="DN90" i="57"/>
  <c r="DN83" i="57" s="1"/>
  <c r="DN82" i="57" s="1"/>
  <c r="DM90" i="57"/>
  <c r="DL90" i="57"/>
  <c r="DK90" i="57"/>
  <c r="DJ90" i="57"/>
  <c r="DI90" i="57"/>
  <c r="DH90" i="57"/>
  <c r="DG90" i="57"/>
  <c r="DF90" i="57"/>
  <c r="DE90" i="57"/>
  <c r="DD90" i="57"/>
  <c r="DC90" i="57"/>
  <c r="DB90" i="57"/>
  <c r="CX90" i="57"/>
  <c r="CW90" i="57"/>
  <c r="CV90" i="57"/>
  <c r="CU90" i="57"/>
  <c r="CT90" i="57"/>
  <c r="CS90" i="57"/>
  <c r="CR90" i="57"/>
  <c r="CQ90" i="57"/>
  <c r="CP90" i="57"/>
  <c r="CO90" i="57"/>
  <c r="CN90" i="57"/>
  <c r="CM90" i="57"/>
  <c r="CL90" i="57"/>
  <c r="CK90" i="57"/>
  <c r="CJ90" i="57"/>
  <c r="CI90" i="57"/>
  <c r="CH90" i="57"/>
  <c r="CG90" i="57"/>
  <c r="CF90" i="57"/>
  <c r="CE90" i="57"/>
  <c r="CD90" i="57"/>
  <c r="CC90" i="57"/>
  <c r="CC83" i="57" s="1"/>
  <c r="CC82" i="57" s="1"/>
  <c r="CB90" i="57"/>
  <c r="CA90" i="57"/>
  <c r="BZ90" i="57"/>
  <c r="BY90" i="57"/>
  <c r="BX90" i="57"/>
  <c r="BW90" i="57"/>
  <c r="BV90" i="57"/>
  <c r="BU90" i="57"/>
  <c r="BT90" i="57"/>
  <c r="BS90" i="57"/>
  <c r="BR90" i="57"/>
  <c r="BQ90" i="57"/>
  <c r="BP90" i="57"/>
  <c r="BO90" i="57"/>
  <c r="BN90" i="57"/>
  <c r="BM90" i="57"/>
  <c r="BL90" i="57"/>
  <c r="BK90" i="57"/>
  <c r="BJ90" i="57"/>
  <c r="BI90" i="57"/>
  <c r="BH90" i="57"/>
  <c r="BG90" i="57"/>
  <c r="BF90" i="57"/>
  <c r="BE90" i="57"/>
  <c r="BE83" i="57" s="1"/>
  <c r="BE82" i="57" s="1"/>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G83" i="57" s="1"/>
  <c r="AG82" i="57" s="1"/>
  <c r="AF90" i="57"/>
  <c r="AE90" i="57"/>
  <c r="AD90" i="57"/>
  <c r="AC90" i="57"/>
  <c r="AB90" i="57"/>
  <c r="AA90" i="57"/>
  <c r="Z90" i="57"/>
  <c r="Y90" i="57"/>
  <c r="X90" i="57"/>
  <c r="W90" i="57"/>
  <c r="V90" i="57"/>
  <c r="U90" i="57"/>
  <c r="T90" i="57"/>
  <c r="S90" i="57"/>
  <c r="R90" i="57"/>
  <c r="Q90" i="57"/>
  <c r="P90" i="57"/>
  <c r="O90" i="57"/>
  <c r="N90" i="57"/>
  <c r="M90" i="57"/>
  <c r="L90" i="57"/>
  <c r="K90" i="57"/>
  <c r="J90" i="57"/>
  <c r="I90" i="57"/>
  <c r="H90" i="57"/>
  <c r="G90" i="57"/>
  <c r="F90" i="57"/>
  <c r="E90" i="57"/>
  <c r="D90" i="57"/>
  <c r="C90" i="57"/>
  <c r="EH89" i="57"/>
  <c r="EG89" i="57"/>
  <c r="EF89" i="57"/>
  <c r="EE89" i="57"/>
  <c r="B89" i="57"/>
  <c r="EH88" i="57"/>
  <c r="EG88" i="57"/>
  <c r="EF88" i="57"/>
  <c r="EE88" i="57"/>
  <c r="B88" i="57"/>
  <c r="EH87" i="57"/>
  <c r="EG87" i="57"/>
  <c r="EF87" i="57"/>
  <c r="EE87" i="57"/>
  <c r="B87" i="57"/>
  <c r="EI87" i="57" s="1"/>
  <c r="EH86" i="57"/>
  <c r="EG86" i="57"/>
  <c r="EF86" i="57"/>
  <c r="EE86" i="57"/>
  <c r="B86" i="57"/>
  <c r="EI86" i="57" s="1"/>
  <c r="EH85" i="57"/>
  <c r="EG85" i="57"/>
  <c r="EF85" i="57"/>
  <c r="EE85" i="57"/>
  <c r="B85" i="57"/>
  <c r="ED84" i="57"/>
  <c r="EC84" i="57"/>
  <c r="EC83" i="57" s="1"/>
  <c r="EC82" i="57" s="1"/>
  <c r="EB84" i="57"/>
  <c r="EA84" i="57"/>
  <c r="DZ84" i="57"/>
  <c r="DY84" i="57"/>
  <c r="DX84" i="57"/>
  <c r="DW84" i="57"/>
  <c r="DV84" i="57"/>
  <c r="DV83" i="57" s="1"/>
  <c r="DV82" i="57" s="1"/>
  <c r="DU84" i="57"/>
  <c r="DT84" i="57"/>
  <c r="DS84" i="57"/>
  <c r="DR84" i="57"/>
  <c r="DQ84" i="57"/>
  <c r="DQ83" i="57" s="1"/>
  <c r="DQ82" i="57" s="1"/>
  <c r="DP84" i="57"/>
  <c r="DO84" i="57"/>
  <c r="DN84" i="57"/>
  <c r="DM84" i="57"/>
  <c r="DL84" i="57"/>
  <c r="DK84" i="57"/>
  <c r="DJ84" i="57"/>
  <c r="DJ83" i="57" s="1"/>
  <c r="DJ82" i="57" s="1"/>
  <c r="DI84" i="57"/>
  <c r="DH84" i="57"/>
  <c r="DG84" i="57"/>
  <c r="DF84" i="57"/>
  <c r="DE84" i="57"/>
  <c r="DE83" i="57" s="1"/>
  <c r="DE82" i="57" s="1"/>
  <c r="DD84" i="57"/>
  <c r="DC84" i="57"/>
  <c r="DB84" i="57"/>
  <c r="DA84" i="57"/>
  <c r="CZ84" i="57"/>
  <c r="CY84" i="57"/>
  <c r="CX84" i="57"/>
  <c r="CX83" i="57" s="1"/>
  <c r="CX82" i="57" s="1"/>
  <c r="CW84" i="57"/>
  <c r="CV84" i="57"/>
  <c r="CU84" i="57"/>
  <c r="CT84" i="57"/>
  <c r="CS84" i="57"/>
  <c r="CR84" i="57"/>
  <c r="CQ84" i="57"/>
  <c r="CP84" i="57"/>
  <c r="CO84" i="57"/>
  <c r="CN84" i="57"/>
  <c r="CM84" i="57"/>
  <c r="CL84" i="57"/>
  <c r="CL83" i="57" s="1"/>
  <c r="CL82" i="57" s="1"/>
  <c r="CK84" i="57"/>
  <c r="CJ84" i="57"/>
  <c r="CI84" i="57"/>
  <c r="CH84" i="57"/>
  <c r="CG84" i="57"/>
  <c r="CG83" i="57" s="1"/>
  <c r="CG82" i="57" s="1"/>
  <c r="CF84" i="57"/>
  <c r="CE84" i="57"/>
  <c r="CD84" i="57"/>
  <c r="CC84" i="57"/>
  <c r="CB84" i="57"/>
  <c r="CA84" i="57"/>
  <c r="BZ84" i="57"/>
  <c r="BZ83" i="57" s="1"/>
  <c r="BZ82" i="57" s="1"/>
  <c r="BY84" i="57"/>
  <c r="BX84" i="57"/>
  <c r="BW84" i="57"/>
  <c r="BV84" i="57"/>
  <c r="BU84" i="57"/>
  <c r="BU83" i="57" s="1"/>
  <c r="BU82" i="57" s="1"/>
  <c r="BT84" i="57"/>
  <c r="BS84" i="57"/>
  <c r="BR84" i="57"/>
  <c r="BQ84" i="57"/>
  <c r="BP84" i="57"/>
  <c r="BO84" i="57"/>
  <c r="BN84" i="57"/>
  <c r="BN83" i="57" s="1"/>
  <c r="BN82" i="57" s="1"/>
  <c r="BM84" i="57"/>
  <c r="BL84" i="57"/>
  <c r="BK84" i="57"/>
  <c r="BJ84" i="57"/>
  <c r="BI84" i="57"/>
  <c r="BI83" i="57" s="1"/>
  <c r="BI82" i="57" s="1"/>
  <c r="BH84" i="57"/>
  <c r="BG84" i="57"/>
  <c r="BF84" i="57"/>
  <c r="BE84" i="57"/>
  <c r="BD84" i="57"/>
  <c r="BC84" i="57"/>
  <c r="BB84" i="57"/>
  <c r="BB83" i="57" s="1"/>
  <c r="BB82" i="57" s="1"/>
  <c r="BA84" i="57"/>
  <c r="AZ84" i="57"/>
  <c r="AY84" i="57"/>
  <c r="AX84" i="57"/>
  <c r="AW84" i="57"/>
  <c r="AV84" i="57"/>
  <c r="AU84" i="57"/>
  <c r="AT84" i="57"/>
  <c r="AS84" i="57"/>
  <c r="AR84" i="57"/>
  <c r="AQ84" i="57"/>
  <c r="AP84" i="57"/>
  <c r="AP83" i="57" s="1"/>
  <c r="AP82" i="57" s="1"/>
  <c r="AO84" i="57"/>
  <c r="AN84" i="57"/>
  <c r="AM84" i="57"/>
  <c r="AL84" i="57"/>
  <c r="AK84" i="57"/>
  <c r="AK83" i="57" s="1"/>
  <c r="AK82" i="57" s="1"/>
  <c r="AJ84" i="57"/>
  <c r="AI84" i="57"/>
  <c r="AH84" i="57"/>
  <c r="AG84" i="57"/>
  <c r="AF84" i="57"/>
  <c r="AE84" i="57"/>
  <c r="AD84" i="57"/>
  <c r="AD83" i="57" s="1"/>
  <c r="AD82" i="57" s="1"/>
  <c r="AC84" i="57"/>
  <c r="AB84" i="57"/>
  <c r="AA84" i="57"/>
  <c r="Z84" i="57"/>
  <c r="Y84" i="57"/>
  <c r="X84" i="57"/>
  <c r="W84" i="57"/>
  <c r="V84" i="57"/>
  <c r="U84" i="57"/>
  <c r="T84" i="57"/>
  <c r="S84" i="57"/>
  <c r="R84" i="57"/>
  <c r="R83" i="57" s="1"/>
  <c r="R82" i="57" s="1"/>
  <c r="Q84" i="57"/>
  <c r="P84" i="57"/>
  <c r="O84" i="57"/>
  <c r="N84" i="57"/>
  <c r="M84" i="57"/>
  <c r="M83" i="57" s="1"/>
  <c r="M82" i="57" s="1"/>
  <c r="L84" i="57"/>
  <c r="K84" i="57"/>
  <c r="J84" i="57"/>
  <c r="I84" i="57"/>
  <c r="H84" i="57"/>
  <c r="G84" i="57"/>
  <c r="EE84" i="57" s="1"/>
  <c r="F84" i="57"/>
  <c r="F83" i="57" s="1"/>
  <c r="E84" i="57"/>
  <c r="D84" i="57"/>
  <c r="C84" i="57"/>
  <c r="CS83" i="57"/>
  <c r="CS82" i="57" s="1"/>
  <c r="AW83" i="57"/>
  <c r="AW82" i="57" s="1"/>
  <c r="Y83" i="57"/>
  <c r="Y82" i="57" s="1"/>
  <c r="I83" i="57"/>
  <c r="I82" i="57" s="1"/>
  <c r="EH81" i="57"/>
  <c r="EG81" i="57"/>
  <c r="EF81" i="57"/>
  <c r="EE81" i="57"/>
  <c r="B81" i="57"/>
  <c r="EI81" i="57" s="1"/>
  <c r="ED80" i="57"/>
  <c r="EC80" i="57"/>
  <c r="EC77" i="57" s="1"/>
  <c r="EB80" i="57"/>
  <c r="EA80" i="57"/>
  <c r="DZ80" i="57"/>
  <c r="DZ77" i="57" s="1"/>
  <c r="DY80" i="57"/>
  <c r="DX80" i="57"/>
  <c r="DW80" i="57"/>
  <c r="DV80" i="57"/>
  <c r="DU80" i="57"/>
  <c r="DT80" i="57"/>
  <c r="DS80" i="57"/>
  <c r="DR80" i="57"/>
  <c r="DR77" i="57" s="1"/>
  <c r="DQ80" i="57"/>
  <c r="DP80" i="57"/>
  <c r="DO80" i="57"/>
  <c r="DN80" i="57"/>
  <c r="DM80" i="57"/>
  <c r="DL80" i="57"/>
  <c r="DL77" i="57" s="1"/>
  <c r="DK80" i="57"/>
  <c r="DJ80" i="57"/>
  <c r="DI80" i="57"/>
  <c r="DH80" i="57"/>
  <c r="DG80" i="57"/>
  <c r="DF80" i="57"/>
  <c r="DE80" i="57"/>
  <c r="DE77" i="57" s="1"/>
  <c r="DD80" i="57"/>
  <c r="DC80" i="57"/>
  <c r="DB80" i="57"/>
  <c r="DB77" i="57" s="1"/>
  <c r="DA80" i="57"/>
  <c r="CZ80" i="57"/>
  <c r="CY80" i="57"/>
  <c r="CX80" i="57"/>
  <c r="CW80" i="57"/>
  <c r="CV80" i="57"/>
  <c r="CU80" i="57"/>
  <c r="CT80" i="57"/>
  <c r="CT77" i="57" s="1"/>
  <c r="CS80" i="57"/>
  <c r="CR80" i="57"/>
  <c r="CQ80" i="57"/>
  <c r="CP80" i="57"/>
  <c r="CO80" i="57"/>
  <c r="CN80" i="57"/>
  <c r="CM80" i="57"/>
  <c r="CL80" i="57"/>
  <c r="CK80" i="57"/>
  <c r="CJ80" i="57"/>
  <c r="CI80" i="57"/>
  <c r="CH80" i="57"/>
  <c r="CG80" i="57"/>
  <c r="CG77" i="57" s="1"/>
  <c r="CF80" i="57"/>
  <c r="CE80" i="57"/>
  <c r="CD80" i="57"/>
  <c r="CD77" i="57" s="1"/>
  <c r="CC80" i="57"/>
  <c r="CB80" i="57"/>
  <c r="CA80" i="57"/>
  <c r="BZ80" i="57"/>
  <c r="BY80" i="57"/>
  <c r="BX80" i="57"/>
  <c r="BW80" i="57"/>
  <c r="BV80" i="57"/>
  <c r="BV77" i="57" s="1"/>
  <c r="BU80" i="57"/>
  <c r="BT80" i="57"/>
  <c r="BS80" i="57"/>
  <c r="BR80" i="57"/>
  <c r="BQ80" i="57"/>
  <c r="BP80" i="57"/>
  <c r="BO80" i="57"/>
  <c r="BN80" i="57"/>
  <c r="BM80" i="57"/>
  <c r="BL80" i="57"/>
  <c r="BK80" i="57"/>
  <c r="BJ80" i="57"/>
  <c r="BI80" i="57"/>
  <c r="BI77" i="57" s="1"/>
  <c r="BH80" i="57"/>
  <c r="BG80" i="57"/>
  <c r="BF80" i="57"/>
  <c r="BF77" i="57" s="1"/>
  <c r="BE80" i="57"/>
  <c r="BD80" i="57"/>
  <c r="BC80" i="57"/>
  <c r="BB80" i="57"/>
  <c r="BA80" i="57"/>
  <c r="AZ80" i="57"/>
  <c r="AY80" i="57"/>
  <c r="AX80" i="57"/>
  <c r="AX77" i="57" s="1"/>
  <c r="AW80" i="57"/>
  <c r="AV80" i="57"/>
  <c r="AU80" i="57"/>
  <c r="AT80" i="57"/>
  <c r="AS80" i="57"/>
  <c r="AR80" i="57"/>
  <c r="AR77" i="57" s="1"/>
  <c r="AQ80" i="57"/>
  <c r="AP80" i="57"/>
  <c r="AO80" i="57"/>
  <c r="AN80" i="57"/>
  <c r="AM80" i="57"/>
  <c r="AL80" i="57"/>
  <c r="AK80" i="57"/>
  <c r="AK77" i="57" s="1"/>
  <c r="AJ80" i="57"/>
  <c r="AI80" i="57"/>
  <c r="AH80" i="57"/>
  <c r="AH77" i="57" s="1"/>
  <c r="AG80" i="57"/>
  <c r="AF80" i="57"/>
  <c r="AE80" i="57"/>
  <c r="AD80" i="57"/>
  <c r="AC80" i="57"/>
  <c r="AB80" i="57"/>
  <c r="AA80" i="57"/>
  <c r="Z80" i="57"/>
  <c r="Y80" i="57"/>
  <c r="X80" i="57"/>
  <c r="W80" i="57"/>
  <c r="V80" i="57"/>
  <c r="U80" i="57"/>
  <c r="T80" i="57"/>
  <c r="S80" i="57"/>
  <c r="R80" i="57"/>
  <c r="Q80" i="57"/>
  <c r="P80" i="57"/>
  <c r="O80" i="57"/>
  <c r="N80" i="57"/>
  <c r="M80" i="57"/>
  <c r="M77" i="57" s="1"/>
  <c r="L80" i="57"/>
  <c r="K80" i="57"/>
  <c r="J80" i="57"/>
  <c r="J77" i="57" s="1"/>
  <c r="I80" i="57"/>
  <c r="EG80" i="57" s="1"/>
  <c r="H80" i="57"/>
  <c r="G80" i="57"/>
  <c r="F80" i="57"/>
  <c r="E80" i="57"/>
  <c r="D80" i="57"/>
  <c r="C80" i="57"/>
  <c r="EE80" i="57" s="1"/>
  <c r="B80" i="57"/>
  <c r="EH79" i="57"/>
  <c r="EG79" i="57"/>
  <c r="EF79" i="57"/>
  <c r="EE79" i="57"/>
  <c r="B79" i="57"/>
  <c r="B78" i="57" s="1"/>
  <c r="ED78" i="57"/>
  <c r="EC78" i="57"/>
  <c r="EB78" i="57"/>
  <c r="EA78" i="57"/>
  <c r="EA77" i="57" s="1"/>
  <c r="DZ78" i="57"/>
  <c r="DY78" i="57"/>
  <c r="DX78" i="57"/>
  <c r="DW78" i="57"/>
  <c r="DW77" i="57" s="1"/>
  <c r="DV78" i="57"/>
  <c r="DV77" i="57" s="1"/>
  <c r="DU78" i="57"/>
  <c r="DU77" i="57" s="1"/>
  <c r="DT78" i="57"/>
  <c r="DS78" i="57"/>
  <c r="DR78" i="57"/>
  <c r="DQ78" i="57"/>
  <c r="DP78" i="57"/>
  <c r="DP77" i="57" s="1"/>
  <c r="DO78" i="57"/>
  <c r="DO77" i="57" s="1"/>
  <c r="DN78" i="57"/>
  <c r="DM78" i="57"/>
  <c r="DM77" i="57" s="1"/>
  <c r="DL78" i="57"/>
  <c r="DK78" i="57"/>
  <c r="DK77" i="57" s="1"/>
  <c r="DJ78" i="57"/>
  <c r="DJ77" i="57" s="1"/>
  <c r="DI78" i="57"/>
  <c r="DI77" i="57" s="1"/>
  <c r="DH78" i="57"/>
  <c r="DG78" i="57"/>
  <c r="DF78" i="57"/>
  <c r="DE78" i="57"/>
  <c r="DD78" i="57"/>
  <c r="DD77" i="57" s="1"/>
  <c r="DC78" i="57"/>
  <c r="DC77" i="57" s="1"/>
  <c r="DB78" i="57"/>
  <c r="DA78" i="57"/>
  <c r="DA77" i="57" s="1"/>
  <c r="CZ78" i="57"/>
  <c r="CY78" i="57"/>
  <c r="CY77" i="57" s="1"/>
  <c r="CX78" i="57"/>
  <c r="CX77" i="57" s="1"/>
  <c r="CW78" i="57"/>
  <c r="CW77" i="57" s="1"/>
  <c r="CV78" i="57"/>
  <c r="CU78" i="57"/>
  <c r="CT78" i="57"/>
  <c r="CS78" i="57"/>
  <c r="CR78" i="57"/>
  <c r="CR77" i="57" s="1"/>
  <c r="CQ78" i="57"/>
  <c r="CQ77" i="57" s="1"/>
  <c r="CP78" i="57"/>
  <c r="CO78" i="57"/>
  <c r="CN78" i="57"/>
  <c r="CM78" i="57"/>
  <c r="CM77" i="57" s="1"/>
  <c r="CL78" i="57"/>
  <c r="CL77" i="57" s="1"/>
  <c r="CK78" i="57"/>
  <c r="CK77" i="57" s="1"/>
  <c r="CJ78" i="57"/>
  <c r="CI78" i="57"/>
  <c r="CH78" i="57"/>
  <c r="CG78" i="57"/>
  <c r="CF78" i="57"/>
  <c r="CE78" i="57"/>
  <c r="CE77" i="57" s="1"/>
  <c r="CD78" i="57"/>
  <c r="CC78" i="57"/>
  <c r="CC77" i="57" s="1"/>
  <c r="CB78" i="57"/>
  <c r="CA78" i="57"/>
  <c r="CA77" i="57" s="1"/>
  <c r="BZ78" i="57"/>
  <c r="BZ77" i="57" s="1"/>
  <c r="BY78" i="57"/>
  <c r="BY77" i="57" s="1"/>
  <c r="BX78" i="57"/>
  <c r="BW78" i="57"/>
  <c r="BV78" i="57"/>
  <c r="BU78" i="57"/>
  <c r="BT78" i="57"/>
  <c r="BT77" i="57" s="1"/>
  <c r="BS78" i="57"/>
  <c r="BS77" i="57" s="1"/>
  <c r="BR78" i="57"/>
  <c r="BQ78" i="57"/>
  <c r="BQ77" i="57" s="1"/>
  <c r="BP78" i="57"/>
  <c r="BO78" i="57"/>
  <c r="BO77" i="57" s="1"/>
  <c r="BN78" i="57"/>
  <c r="BN77" i="57" s="1"/>
  <c r="BM78" i="57"/>
  <c r="BM77" i="57" s="1"/>
  <c r="BL78" i="57"/>
  <c r="BK78" i="57"/>
  <c r="BJ78" i="57"/>
  <c r="BI78" i="57"/>
  <c r="BH78" i="57"/>
  <c r="BH77" i="57" s="1"/>
  <c r="BG78" i="57"/>
  <c r="BG77" i="57" s="1"/>
  <c r="BF78" i="57"/>
  <c r="BE78" i="57"/>
  <c r="BD78" i="57"/>
  <c r="BC78" i="57"/>
  <c r="BC77" i="57" s="1"/>
  <c r="BB78" i="57"/>
  <c r="BB77" i="57" s="1"/>
  <c r="BA78" i="57"/>
  <c r="BA77" i="57" s="1"/>
  <c r="AZ78" i="57"/>
  <c r="AY78" i="57"/>
  <c r="AX78" i="57"/>
  <c r="AW78" i="57"/>
  <c r="AV78" i="57"/>
  <c r="AV77" i="57" s="1"/>
  <c r="AU78" i="57"/>
  <c r="AU77" i="57" s="1"/>
  <c r="AT78" i="57"/>
  <c r="AS78" i="57"/>
  <c r="AS77" i="57" s="1"/>
  <c r="AR78" i="57"/>
  <c r="AQ78" i="57"/>
  <c r="AQ77" i="57" s="1"/>
  <c r="AP78" i="57"/>
  <c r="AP77" i="57" s="1"/>
  <c r="AO78" i="57"/>
  <c r="AO77" i="57" s="1"/>
  <c r="AN78" i="57"/>
  <c r="AM78" i="57"/>
  <c r="AL78" i="57"/>
  <c r="AK78" i="57"/>
  <c r="AJ78" i="57"/>
  <c r="AJ77" i="57" s="1"/>
  <c r="AI78" i="57"/>
  <c r="AI77" i="57" s="1"/>
  <c r="AH78" i="57"/>
  <c r="AG78" i="57"/>
  <c r="AG77" i="57" s="1"/>
  <c r="AF78" i="57"/>
  <c r="AE78" i="57"/>
  <c r="AE77" i="57" s="1"/>
  <c r="AD78" i="57"/>
  <c r="AD77" i="57" s="1"/>
  <c r="AC78" i="57"/>
  <c r="AC77" i="57" s="1"/>
  <c r="AB78" i="57"/>
  <c r="AA78" i="57"/>
  <c r="Z78" i="57"/>
  <c r="Y78" i="57"/>
  <c r="X78" i="57"/>
  <c r="X77" i="57" s="1"/>
  <c r="W78" i="57"/>
  <c r="W77" i="57" s="1"/>
  <c r="V78" i="57"/>
  <c r="U78" i="57"/>
  <c r="T78" i="57"/>
  <c r="S78" i="57"/>
  <c r="S77" i="57" s="1"/>
  <c r="R78" i="57"/>
  <c r="R77" i="57" s="1"/>
  <c r="Q78" i="57"/>
  <c r="Q77" i="57" s="1"/>
  <c r="P78" i="57"/>
  <c r="O78" i="57"/>
  <c r="N78" i="57"/>
  <c r="M78" i="57"/>
  <c r="L78" i="57"/>
  <c r="L77" i="57" s="1"/>
  <c r="K78" i="57"/>
  <c r="K77" i="57" s="1"/>
  <c r="J78" i="57"/>
  <c r="I78" i="57"/>
  <c r="H78" i="57"/>
  <c r="G78" i="57"/>
  <c r="G77" i="57" s="1"/>
  <c r="F78" i="57"/>
  <c r="F77" i="57" s="1"/>
  <c r="E78" i="57"/>
  <c r="E77" i="57" s="1"/>
  <c r="D78" i="57"/>
  <c r="C78" i="57"/>
  <c r="EB77" i="57"/>
  <c r="DY77" i="57"/>
  <c r="DQ77" i="57"/>
  <c r="CS77" i="57"/>
  <c r="CO77" i="57"/>
  <c r="CN77" i="57"/>
  <c r="CF77" i="57"/>
  <c r="BU77" i="57"/>
  <c r="BP77" i="57"/>
  <c r="BE77" i="57"/>
  <c r="AW77" i="57"/>
  <c r="Z77" i="57"/>
  <c r="Y77" i="57"/>
  <c r="U77" i="57"/>
  <c r="T77" i="57"/>
  <c r="EH76" i="57"/>
  <c r="EG76" i="57"/>
  <c r="EF76" i="57"/>
  <c r="EE76" i="57"/>
  <c r="EI76" i="57" s="1"/>
  <c r="B76" i="57"/>
  <c r="EH75" i="57"/>
  <c r="EG75" i="57"/>
  <c r="EF75" i="57"/>
  <c r="EE75" i="57"/>
  <c r="EI75" i="57" s="1"/>
  <c r="B75" i="57"/>
  <c r="B74" i="57" s="1"/>
  <c r="ED74" i="57"/>
  <c r="EC74" i="57"/>
  <c r="EB74" i="57"/>
  <c r="EA74" i="57"/>
  <c r="EA69" i="57" s="1"/>
  <c r="DZ74" i="57"/>
  <c r="DZ69" i="57" s="1"/>
  <c r="DY74" i="57"/>
  <c r="DX74" i="57"/>
  <c r="DW74" i="57"/>
  <c r="DV74" i="57"/>
  <c r="DU74" i="57"/>
  <c r="DT74" i="57"/>
  <c r="DT69" i="57" s="1"/>
  <c r="DS74" i="57"/>
  <c r="DS69" i="57" s="1"/>
  <c r="DR74" i="57"/>
  <c r="DQ74" i="57"/>
  <c r="DP74" i="57"/>
  <c r="DO74" i="57"/>
  <c r="DN74" i="57"/>
  <c r="DM74" i="57"/>
  <c r="DL74" i="57"/>
  <c r="DK74" i="57"/>
  <c r="DJ74" i="57"/>
  <c r="DI74" i="57"/>
  <c r="DH74" i="57"/>
  <c r="DH69" i="57" s="1"/>
  <c r="DG74" i="57"/>
  <c r="DF74" i="57"/>
  <c r="DE74" i="57"/>
  <c r="DD74" i="57"/>
  <c r="DC74" i="57"/>
  <c r="DC69" i="57" s="1"/>
  <c r="DB74" i="57"/>
  <c r="DB69" i="57" s="1"/>
  <c r="DA74" i="57"/>
  <c r="CZ74" i="57"/>
  <c r="CY74" i="57"/>
  <c r="CX74" i="57"/>
  <c r="CW74" i="57"/>
  <c r="CV74" i="57"/>
  <c r="CU74" i="57"/>
  <c r="CT74" i="57"/>
  <c r="CS74" i="57"/>
  <c r="CR74" i="57"/>
  <c r="CR69" i="57" s="1"/>
  <c r="CQ74" i="57"/>
  <c r="CP74" i="57"/>
  <c r="CP69" i="57" s="1"/>
  <c r="CO74" i="57"/>
  <c r="CN74" i="57"/>
  <c r="CM74" i="57"/>
  <c r="CL74" i="57"/>
  <c r="CK74" i="57"/>
  <c r="CJ74" i="57"/>
  <c r="CJ69" i="57" s="1"/>
  <c r="CI74" i="57"/>
  <c r="CH74" i="57"/>
  <c r="CG74" i="57"/>
  <c r="CF74" i="57"/>
  <c r="CE74" i="57"/>
  <c r="CE69" i="57" s="1"/>
  <c r="CD74" i="57"/>
  <c r="CD69" i="57" s="1"/>
  <c r="CC74" i="57"/>
  <c r="CB74" i="57"/>
  <c r="CA74" i="57"/>
  <c r="BZ74" i="57"/>
  <c r="BY74" i="57"/>
  <c r="BX74" i="57"/>
  <c r="BW74" i="57"/>
  <c r="BV74" i="57"/>
  <c r="BU74" i="57"/>
  <c r="BT74" i="57"/>
  <c r="BS74" i="57"/>
  <c r="BR74" i="57"/>
  <c r="BQ74" i="57"/>
  <c r="BP74" i="57"/>
  <c r="BO74" i="57"/>
  <c r="BN74" i="57"/>
  <c r="BM74" i="57"/>
  <c r="BL74" i="57"/>
  <c r="BL69" i="57" s="1"/>
  <c r="BK74" i="57"/>
  <c r="BJ74" i="57"/>
  <c r="BI74" i="57"/>
  <c r="BH74" i="57"/>
  <c r="BG74" i="57"/>
  <c r="BG69" i="57" s="1"/>
  <c r="BF74" i="57"/>
  <c r="BF69" i="57" s="1"/>
  <c r="BE74" i="57"/>
  <c r="BD74" i="57"/>
  <c r="BC74" i="57"/>
  <c r="BB74" i="57"/>
  <c r="BA74" i="57"/>
  <c r="AZ74" i="57"/>
  <c r="AY74" i="57"/>
  <c r="AX74" i="57"/>
  <c r="AW74" i="57"/>
  <c r="AV74" i="57"/>
  <c r="AV69" i="57" s="1"/>
  <c r="AU74" i="57"/>
  <c r="AT74" i="57"/>
  <c r="AT69" i="57" s="1"/>
  <c r="AS74" i="57"/>
  <c r="AR74" i="57"/>
  <c r="AQ74" i="57"/>
  <c r="AP74" i="57"/>
  <c r="AO74" i="57"/>
  <c r="AN74" i="57"/>
  <c r="AM74" i="57"/>
  <c r="AL74" i="57"/>
  <c r="AK74" i="57"/>
  <c r="AJ74" i="57"/>
  <c r="AI74" i="57"/>
  <c r="AI69" i="57" s="1"/>
  <c r="AH74" i="57"/>
  <c r="AG74" i="57"/>
  <c r="AF74" i="57"/>
  <c r="AE74" i="57"/>
  <c r="AD74" i="57"/>
  <c r="AC74" i="57"/>
  <c r="AB74" i="57"/>
  <c r="AA74" i="57"/>
  <c r="Z74" i="57"/>
  <c r="Y74" i="57"/>
  <c r="X74" i="57"/>
  <c r="X69" i="57" s="1"/>
  <c r="W74" i="57"/>
  <c r="V74" i="57"/>
  <c r="V69" i="57" s="1"/>
  <c r="U74" i="57"/>
  <c r="T74" i="57"/>
  <c r="S74" i="57"/>
  <c r="R74" i="57"/>
  <c r="Q74" i="57"/>
  <c r="P74" i="57"/>
  <c r="P69" i="57" s="1"/>
  <c r="O74" i="57"/>
  <c r="N74" i="57"/>
  <c r="M74" i="57"/>
  <c r="L74" i="57"/>
  <c r="K74" i="57"/>
  <c r="K69" i="57" s="1"/>
  <c r="J74" i="57"/>
  <c r="I74" i="57"/>
  <c r="H74" i="57"/>
  <c r="G74" i="57"/>
  <c r="F74" i="57"/>
  <c r="EH74" i="57" s="1"/>
  <c r="E74" i="57"/>
  <c r="EG74" i="57" s="1"/>
  <c r="D74" i="57"/>
  <c r="C74" i="57"/>
  <c r="C69" i="57" s="1"/>
  <c r="EH73" i="57"/>
  <c r="EG73" i="57"/>
  <c r="EF73" i="57"/>
  <c r="EE73" i="57"/>
  <c r="EI73" i="57" s="1"/>
  <c r="EH72" i="57"/>
  <c r="EG72" i="57"/>
  <c r="EF72" i="57"/>
  <c r="EE72" i="57"/>
  <c r="EI72" i="57" s="1"/>
  <c r="EH71" i="57"/>
  <c r="EG71" i="57"/>
  <c r="EF71" i="57"/>
  <c r="EE71" i="57"/>
  <c r="EI71" i="57" s="1"/>
  <c r="ED70" i="57"/>
  <c r="EC70" i="57"/>
  <c r="EC69" i="57" s="1"/>
  <c r="EB70" i="57"/>
  <c r="EA70" i="57"/>
  <c r="DZ70" i="57"/>
  <c r="DY70" i="57"/>
  <c r="DY69" i="57" s="1"/>
  <c r="DX70" i="57"/>
  <c r="DX69" i="57" s="1"/>
  <c r="DW70" i="57"/>
  <c r="DW69" i="57" s="1"/>
  <c r="DV70" i="57"/>
  <c r="DV69" i="57" s="1"/>
  <c r="DU70" i="57"/>
  <c r="DU69" i="57" s="1"/>
  <c r="DT70" i="57"/>
  <c r="DS70" i="57"/>
  <c r="DR70" i="57"/>
  <c r="DQ70" i="57"/>
  <c r="DP70" i="57"/>
  <c r="DO70" i="57"/>
  <c r="DN70" i="57"/>
  <c r="DM70" i="57"/>
  <c r="DL70" i="57"/>
  <c r="DL69" i="57" s="1"/>
  <c r="DK70" i="57"/>
  <c r="DK69" i="57" s="1"/>
  <c r="DJ70" i="57"/>
  <c r="DJ69" i="57" s="1"/>
  <c r="DI70" i="57"/>
  <c r="DI69" i="57" s="1"/>
  <c r="DH70" i="57"/>
  <c r="DG70" i="57"/>
  <c r="DF70" i="57"/>
  <c r="DF69" i="57" s="1"/>
  <c r="DE70" i="57"/>
  <c r="DE69" i="57" s="1"/>
  <c r="DD70" i="57"/>
  <c r="DC70" i="57"/>
  <c r="DB70" i="57"/>
  <c r="DA70" i="57"/>
  <c r="DA69" i="57" s="1"/>
  <c r="CZ70" i="57"/>
  <c r="CY70" i="57"/>
  <c r="CY69" i="57" s="1"/>
  <c r="CX70" i="57"/>
  <c r="CX69" i="57" s="1"/>
  <c r="CW70" i="57"/>
  <c r="CW69" i="57" s="1"/>
  <c r="CV70" i="57"/>
  <c r="CU70" i="57"/>
  <c r="CT70" i="57"/>
  <c r="CS70" i="57"/>
  <c r="CS69" i="57" s="1"/>
  <c r="CR70" i="57"/>
  <c r="CQ70" i="57"/>
  <c r="CP70" i="57"/>
  <c r="CO70" i="57"/>
  <c r="CN70" i="57"/>
  <c r="CN69" i="57" s="1"/>
  <c r="CM70" i="57"/>
  <c r="CM69" i="57" s="1"/>
  <c r="CL70" i="57"/>
  <c r="CL69" i="57" s="1"/>
  <c r="CK70" i="57"/>
  <c r="CK69" i="57" s="1"/>
  <c r="CJ70" i="57"/>
  <c r="CI70" i="57"/>
  <c r="CH70" i="57"/>
  <c r="CH69" i="57" s="1"/>
  <c r="CG70" i="57"/>
  <c r="CG69" i="57" s="1"/>
  <c r="CF70" i="57"/>
  <c r="CE70" i="57"/>
  <c r="CD70" i="57"/>
  <c r="CC70" i="57"/>
  <c r="CC69" i="57" s="1"/>
  <c r="CB70" i="57"/>
  <c r="CA70" i="57"/>
  <c r="CA69" i="57" s="1"/>
  <c r="BZ70" i="57"/>
  <c r="BZ69" i="57" s="1"/>
  <c r="BY70" i="57"/>
  <c r="BX70" i="57"/>
  <c r="BW70" i="57"/>
  <c r="BV70" i="57"/>
  <c r="BV69" i="57" s="1"/>
  <c r="BU70" i="57"/>
  <c r="BU69" i="57" s="1"/>
  <c r="BT70" i="57"/>
  <c r="BS70" i="57"/>
  <c r="BR70" i="57"/>
  <c r="BQ70" i="57"/>
  <c r="BP70" i="57"/>
  <c r="BP69" i="57" s="1"/>
  <c r="BO70" i="57"/>
  <c r="BN70" i="57"/>
  <c r="BM70" i="57"/>
  <c r="BM69" i="57" s="1"/>
  <c r="BL70" i="57"/>
  <c r="BK70" i="57"/>
  <c r="BJ70" i="57"/>
  <c r="BI70" i="57"/>
  <c r="BI69" i="57" s="1"/>
  <c r="BH70" i="57"/>
  <c r="BG70" i="57"/>
  <c r="BF70" i="57"/>
  <c r="BE70" i="57"/>
  <c r="BE69" i="57" s="1"/>
  <c r="BD70" i="57"/>
  <c r="BD69" i="57" s="1"/>
  <c r="BC70" i="57"/>
  <c r="BC69" i="57" s="1"/>
  <c r="BB70" i="57"/>
  <c r="BB69" i="57" s="1"/>
  <c r="BA70" i="57"/>
  <c r="BA69" i="57" s="1"/>
  <c r="AZ70" i="57"/>
  <c r="AY70" i="57"/>
  <c r="AX70" i="57"/>
  <c r="AW70" i="57"/>
  <c r="AW69" i="57" s="1"/>
  <c r="AV70" i="57"/>
  <c r="AU70" i="57"/>
  <c r="AT70" i="57"/>
  <c r="AS70" i="57"/>
  <c r="AR70" i="57"/>
  <c r="AR69" i="57" s="1"/>
  <c r="AQ70" i="57"/>
  <c r="AP70" i="57"/>
  <c r="AO70" i="57"/>
  <c r="AO69" i="57" s="1"/>
  <c r="AN70" i="57"/>
  <c r="AM70" i="57"/>
  <c r="AL70" i="57"/>
  <c r="AL69" i="57" s="1"/>
  <c r="AK70" i="57"/>
  <c r="AK69" i="57" s="1"/>
  <c r="AJ70" i="57"/>
  <c r="AI70" i="57"/>
  <c r="AH70" i="57"/>
  <c r="AG70" i="57"/>
  <c r="AG69" i="57" s="1"/>
  <c r="AF70" i="57"/>
  <c r="AE70" i="57"/>
  <c r="AE69" i="57" s="1"/>
  <c r="AD70" i="57"/>
  <c r="AD69" i="57" s="1"/>
  <c r="AC70" i="57"/>
  <c r="AC69" i="57" s="1"/>
  <c r="AB70" i="57"/>
  <c r="AA70" i="57"/>
  <c r="Z70" i="57"/>
  <c r="Y70" i="57"/>
  <c r="Y69" i="57" s="1"/>
  <c r="X70" i="57"/>
  <c r="W70" i="57"/>
  <c r="V70" i="57"/>
  <c r="U70" i="57"/>
  <c r="T70" i="57"/>
  <c r="T69" i="57" s="1"/>
  <c r="S70" i="57"/>
  <c r="S69" i="57" s="1"/>
  <c r="R70" i="57"/>
  <c r="R69" i="57" s="1"/>
  <c r="Q70" i="57"/>
  <c r="Q69" i="57" s="1"/>
  <c r="P70" i="57"/>
  <c r="O70" i="57"/>
  <c r="N70" i="57"/>
  <c r="M70" i="57"/>
  <c r="L70" i="57"/>
  <c r="K70" i="57"/>
  <c r="J70" i="57"/>
  <c r="I70" i="57"/>
  <c r="I69" i="57" s="1"/>
  <c r="H70" i="57"/>
  <c r="G70" i="57"/>
  <c r="F70" i="57"/>
  <c r="E70" i="57"/>
  <c r="D70" i="57"/>
  <c r="C70" i="57"/>
  <c r="B70" i="57"/>
  <c r="B69" i="57" s="1"/>
  <c r="ED69" i="57"/>
  <c r="DR69" i="57"/>
  <c r="DQ69" i="57"/>
  <c r="DN69" i="57"/>
  <c r="DM69" i="57"/>
  <c r="CZ69" i="57"/>
  <c r="CU69" i="57"/>
  <c r="CT69" i="57"/>
  <c r="CQ69" i="57"/>
  <c r="CO69" i="57"/>
  <c r="CB69" i="57"/>
  <c r="BY69" i="57"/>
  <c r="BR69" i="57"/>
  <c r="BQ69" i="57"/>
  <c r="BO69" i="57"/>
  <c r="BN69" i="57"/>
  <c r="BK69" i="57"/>
  <c r="BJ69" i="57"/>
  <c r="AY69" i="57"/>
  <c r="AX69" i="57"/>
  <c r="AS69" i="57"/>
  <c r="AQ69" i="57"/>
  <c r="AP69" i="57"/>
  <c r="AN69" i="57"/>
  <c r="AH69" i="57"/>
  <c r="AF69" i="57"/>
  <c r="AA69" i="57"/>
  <c r="Z69" i="57"/>
  <c r="U69" i="57"/>
  <c r="O69" i="57"/>
  <c r="N69" i="57"/>
  <c r="M69" i="57"/>
  <c r="H69" i="57"/>
  <c r="F69" i="57"/>
  <c r="EH68" i="57"/>
  <c r="EF68" i="57"/>
  <c r="CO68" i="57"/>
  <c r="CO66" i="57" s="1"/>
  <c r="CM68" i="57"/>
  <c r="B68" i="57"/>
  <c r="EH67" i="57"/>
  <c r="EG67" i="57"/>
  <c r="EF67" i="57"/>
  <c r="EE67" i="57"/>
  <c r="B67" i="57"/>
  <c r="ED66" i="57"/>
  <c r="EC66" i="57"/>
  <c r="EB66" i="57"/>
  <c r="EA66" i="57"/>
  <c r="DZ66" i="57"/>
  <c r="DY66" i="57"/>
  <c r="DX66" i="57"/>
  <c r="DX58" i="57" s="1"/>
  <c r="DW66" i="57"/>
  <c r="DV66" i="57"/>
  <c r="DU66" i="57"/>
  <c r="DT66" i="57"/>
  <c r="DS66" i="57"/>
  <c r="DR66" i="57"/>
  <c r="DQ66" i="57"/>
  <c r="DP66" i="57"/>
  <c r="DO66" i="57"/>
  <c r="DN66" i="57"/>
  <c r="DM66" i="57"/>
  <c r="DL66" i="57"/>
  <c r="DK66" i="57"/>
  <c r="DJ66" i="57"/>
  <c r="DI66" i="57"/>
  <c r="DH66" i="57"/>
  <c r="DG66" i="57"/>
  <c r="DF66" i="57"/>
  <c r="DE66" i="57"/>
  <c r="DD66" i="57"/>
  <c r="DC66" i="57"/>
  <c r="DB66" i="57"/>
  <c r="DA66" i="57"/>
  <c r="CZ66" i="57"/>
  <c r="CY66" i="57"/>
  <c r="CX66" i="57"/>
  <c r="CW66" i="57"/>
  <c r="CV66" i="57"/>
  <c r="CU66" i="57"/>
  <c r="CT66" i="57"/>
  <c r="CS66" i="57"/>
  <c r="CR66" i="57"/>
  <c r="CQ66" i="57"/>
  <c r="CP66" i="57"/>
  <c r="CN66" i="57"/>
  <c r="CL66" i="57"/>
  <c r="CK66" i="57"/>
  <c r="CJ66" i="57"/>
  <c r="CI66" i="57"/>
  <c r="CH66" i="57"/>
  <c r="CG66" i="57"/>
  <c r="CF66" i="57"/>
  <c r="CE66" i="57"/>
  <c r="CD66" i="57"/>
  <c r="CC66" i="57"/>
  <c r="CB66" i="57"/>
  <c r="CA66" i="57"/>
  <c r="BZ66" i="57"/>
  <c r="BY66" i="57"/>
  <c r="BX66" i="57"/>
  <c r="BW66" i="57"/>
  <c r="BV66" i="57"/>
  <c r="BU66" i="57"/>
  <c r="BT66" i="57"/>
  <c r="BS66" i="57"/>
  <c r="BR66" i="57"/>
  <c r="BQ66" i="57"/>
  <c r="BP66" i="57"/>
  <c r="BO66" i="57"/>
  <c r="BN66" i="57"/>
  <c r="BM66" i="57"/>
  <c r="BL66" i="57"/>
  <c r="BK66" i="57"/>
  <c r="BJ66" i="57"/>
  <c r="BI66" i="57"/>
  <c r="BH66" i="57"/>
  <c r="BG66" i="57"/>
  <c r="BF66"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O66" i="57"/>
  <c r="N66" i="57"/>
  <c r="M66" i="57"/>
  <c r="L66" i="57"/>
  <c r="K66" i="57"/>
  <c r="J66" i="57"/>
  <c r="I66" i="57"/>
  <c r="H66" i="57"/>
  <c r="G66" i="57"/>
  <c r="F66" i="57"/>
  <c r="EH66" i="57" s="1"/>
  <c r="E66" i="57"/>
  <c r="D66" i="57"/>
  <c r="C66" i="57"/>
  <c r="EH65" i="57"/>
  <c r="EG65" i="57"/>
  <c r="EF65" i="57"/>
  <c r="EE65" i="57"/>
  <c r="EI65" i="57" s="1"/>
  <c r="B65" i="57"/>
  <c r="B64" i="57" s="1"/>
  <c r="ED64" i="57"/>
  <c r="EC64" i="57"/>
  <c r="EB64" i="57"/>
  <c r="EA64" i="57"/>
  <c r="EA58" i="57" s="1"/>
  <c r="DZ64" i="57"/>
  <c r="DY64" i="57"/>
  <c r="DX64" i="57"/>
  <c r="DW64" i="57"/>
  <c r="DW58" i="57" s="1"/>
  <c r="DV64" i="57"/>
  <c r="DU64" i="57"/>
  <c r="DT64" i="57"/>
  <c r="DS64" i="57"/>
  <c r="DR64" i="57"/>
  <c r="DQ64" i="57"/>
  <c r="DP64" i="57"/>
  <c r="DO64" i="57"/>
  <c r="DO58" i="57" s="1"/>
  <c r="DN64" i="57"/>
  <c r="DM64" i="57"/>
  <c r="DL64" i="57"/>
  <c r="DK64" i="57"/>
  <c r="DK58" i="57" s="1"/>
  <c r="DJ64" i="57"/>
  <c r="DI64" i="57"/>
  <c r="DH64" i="57"/>
  <c r="DG64" i="57"/>
  <c r="DF64" i="57"/>
  <c r="DE64" i="57"/>
  <c r="DD64" i="57"/>
  <c r="DC64" i="57"/>
  <c r="DC58" i="57" s="1"/>
  <c r="DB64" i="57"/>
  <c r="DA64" i="57"/>
  <c r="CZ64" i="57"/>
  <c r="CY64" i="57"/>
  <c r="CY58" i="57" s="1"/>
  <c r="CX64" i="57"/>
  <c r="CW64" i="57"/>
  <c r="CV64" i="57"/>
  <c r="CU64" i="57"/>
  <c r="CT64" i="57"/>
  <c r="CS64" i="57"/>
  <c r="CR64" i="57"/>
  <c r="CQ64" i="57"/>
  <c r="CQ58" i="57" s="1"/>
  <c r="CP64" i="57"/>
  <c r="CO64" i="57"/>
  <c r="CN64" i="57"/>
  <c r="CM64" i="57"/>
  <c r="CL64" i="57"/>
  <c r="CK64" i="57"/>
  <c r="CJ64" i="57"/>
  <c r="CI64" i="57"/>
  <c r="CH64" i="57"/>
  <c r="CG64" i="57"/>
  <c r="CF64" i="57"/>
  <c r="CE64" i="57"/>
  <c r="CD64" i="57"/>
  <c r="CC64" i="57"/>
  <c r="CB64" i="57"/>
  <c r="CA64" i="57"/>
  <c r="BZ64" i="57"/>
  <c r="BY64" i="57"/>
  <c r="BX64" i="57"/>
  <c r="BW64" i="57"/>
  <c r="BV64" i="57"/>
  <c r="BU64" i="57"/>
  <c r="BT64" i="57"/>
  <c r="BT58" i="57" s="1"/>
  <c r="BS64" i="57"/>
  <c r="BS58" i="57" s="1"/>
  <c r="BR64" i="57"/>
  <c r="BQ64" i="57"/>
  <c r="BP64" i="57"/>
  <c r="BO64" i="57"/>
  <c r="BN64" i="57"/>
  <c r="BM64" i="57"/>
  <c r="BL64" i="57"/>
  <c r="BK64" i="57"/>
  <c r="BJ64" i="57"/>
  <c r="BI64" i="57"/>
  <c r="BH64" i="57"/>
  <c r="BG64" i="57"/>
  <c r="BG58" i="57" s="1"/>
  <c r="BF64" i="57"/>
  <c r="BE64" i="57"/>
  <c r="BD64" i="57"/>
  <c r="BC64" i="57"/>
  <c r="BB64" i="57"/>
  <c r="BA64" i="57"/>
  <c r="AZ64" i="57"/>
  <c r="AY64" i="57"/>
  <c r="AX64" i="57"/>
  <c r="AW64" i="57"/>
  <c r="AV64" i="57"/>
  <c r="AU64" i="57"/>
  <c r="AU58" i="57" s="1"/>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W58" i="57" s="1"/>
  <c r="V64" i="57"/>
  <c r="U64" i="57"/>
  <c r="T64" i="57"/>
  <c r="S64" i="57"/>
  <c r="R64" i="57"/>
  <c r="Q64" i="57"/>
  <c r="P64" i="57"/>
  <c r="O64" i="57"/>
  <c r="N64" i="57"/>
  <c r="M64" i="57"/>
  <c r="L64" i="57"/>
  <c r="K64" i="57"/>
  <c r="K58" i="57" s="1"/>
  <c r="J64" i="57"/>
  <c r="I64" i="57"/>
  <c r="H64" i="57"/>
  <c r="G64" i="57"/>
  <c r="F64" i="57"/>
  <c r="EH64" i="57" s="1"/>
  <c r="E64" i="57"/>
  <c r="D64" i="57"/>
  <c r="C64" i="57"/>
  <c r="EH63" i="57"/>
  <c r="EG63" i="57"/>
  <c r="EF63" i="57"/>
  <c r="EE63" i="57"/>
  <c r="EI63" i="57" s="1"/>
  <c r="B63" i="57"/>
  <c r="EH62" i="57"/>
  <c r="EG62" i="57"/>
  <c r="EF62" i="57"/>
  <c r="EE62" i="57"/>
  <c r="B62" i="57"/>
  <c r="ED61" i="57"/>
  <c r="EC61" i="57"/>
  <c r="EB61" i="57"/>
  <c r="EA61" i="57"/>
  <c r="DZ61" i="57"/>
  <c r="DY61" i="57"/>
  <c r="DX61" i="57"/>
  <c r="DW61" i="57"/>
  <c r="DV61" i="57"/>
  <c r="DU61" i="57"/>
  <c r="DT61" i="57"/>
  <c r="DS61" i="57"/>
  <c r="DR61" i="57"/>
  <c r="DQ61" i="57"/>
  <c r="DP61" i="57"/>
  <c r="DO61" i="57"/>
  <c r="DN61" i="57"/>
  <c r="DM61" i="57"/>
  <c r="DL61" i="57"/>
  <c r="DK61" i="57"/>
  <c r="DJ61" i="57"/>
  <c r="DI61" i="57"/>
  <c r="DH61" i="57"/>
  <c r="DG61" i="57"/>
  <c r="DF61" i="57"/>
  <c r="DE61" i="57"/>
  <c r="DD61" i="57"/>
  <c r="DC61" i="57"/>
  <c r="DB61" i="57"/>
  <c r="DA61" i="57"/>
  <c r="CZ61" i="57"/>
  <c r="CY61" i="57"/>
  <c r="CX61" i="57"/>
  <c r="CW61" i="57"/>
  <c r="CV61" i="57"/>
  <c r="CU61" i="57"/>
  <c r="CT61" i="57"/>
  <c r="CS61" i="57"/>
  <c r="CR61" i="57"/>
  <c r="CQ61" i="57"/>
  <c r="CP61" i="57"/>
  <c r="CO61" i="57"/>
  <c r="CN61" i="57"/>
  <c r="CM61" i="57"/>
  <c r="CL61" i="57"/>
  <c r="CK61" i="57"/>
  <c r="CJ61" i="57"/>
  <c r="CI61" i="57"/>
  <c r="CH61" i="57"/>
  <c r="CG61" i="57"/>
  <c r="CF61" i="57"/>
  <c r="CE61" i="57"/>
  <c r="CD61" i="57"/>
  <c r="CC61" i="57"/>
  <c r="CB61" i="57"/>
  <c r="CA61" i="57"/>
  <c r="BZ61" i="57"/>
  <c r="BY61" i="57"/>
  <c r="BX61" i="57"/>
  <c r="BW61" i="57"/>
  <c r="BV61" i="57"/>
  <c r="BU61" i="57"/>
  <c r="BT61" i="57"/>
  <c r="BS61" i="57"/>
  <c r="BR61" i="57"/>
  <c r="BQ61" i="57"/>
  <c r="BP61" i="57"/>
  <c r="BO61" i="57"/>
  <c r="BN61" i="57"/>
  <c r="BM61" i="57"/>
  <c r="BL61" i="57"/>
  <c r="BK61" i="57"/>
  <c r="BJ61" i="57"/>
  <c r="BI61" i="57"/>
  <c r="BH61" i="57"/>
  <c r="BG61" i="57"/>
  <c r="BF61" i="57"/>
  <c r="BE61" i="57"/>
  <c r="BD61" i="57"/>
  <c r="BD58" i="57" s="1"/>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O61" i="57"/>
  <c r="N61" i="57"/>
  <c r="M61" i="57"/>
  <c r="L61" i="57"/>
  <c r="K61" i="57"/>
  <c r="J61" i="57"/>
  <c r="I61" i="57"/>
  <c r="H61" i="57"/>
  <c r="G61" i="57"/>
  <c r="F61" i="57"/>
  <c r="E61" i="57"/>
  <c r="D61" i="57"/>
  <c r="C61" i="57"/>
  <c r="EH60" i="57"/>
  <c r="EG60" i="57"/>
  <c r="EF60" i="57"/>
  <c r="EE60" i="57"/>
  <c r="B60" i="57"/>
  <c r="B59" i="57" s="1"/>
  <c r="ED59" i="57"/>
  <c r="EC59" i="57"/>
  <c r="EB59" i="57"/>
  <c r="EA59" i="57"/>
  <c r="DZ59" i="57"/>
  <c r="DY59" i="57"/>
  <c r="DX59" i="57"/>
  <c r="DW59" i="57"/>
  <c r="DV59" i="57"/>
  <c r="DU59" i="57"/>
  <c r="DT59" i="57"/>
  <c r="DS59" i="57"/>
  <c r="DR59" i="57"/>
  <c r="DR58" i="57" s="1"/>
  <c r="DQ59" i="57"/>
  <c r="DP59" i="57"/>
  <c r="DO59" i="57"/>
  <c r="DN59" i="57"/>
  <c r="DM59" i="57"/>
  <c r="DL59" i="57"/>
  <c r="DK59" i="57"/>
  <c r="DJ59" i="57"/>
  <c r="DI59" i="57"/>
  <c r="DH59" i="57"/>
  <c r="DG59" i="57"/>
  <c r="DF59" i="57"/>
  <c r="DE59" i="57"/>
  <c r="DD59" i="57"/>
  <c r="DC59" i="57"/>
  <c r="DB59" i="57"/>
  <c r="DA59" i="57"/>
  <c r="CZ59" i="57"/>
  <c r="CY59" i="57"/>
  <c r="CX59" i="57"/>
  <c r="CW59" i="57"/>
  <c r="CV59" i="57"/>
  <c r="CU59" i="57"/>
  <c r="CT59" i="57"/>
  <c r="CT58" i="57" s="1"/>
  <c r="CS59" i="57"/>
  <c r="CR59" i="57"/>
  <c r="CQ59" i="57"/>
  <c r="CP59" i="57"/>
  <c r="CO59" i="57"/>
  <c r="CN59" i="57"/>
  <c r="CM59" i="57"/>
  <c r="CL59" i="57"/>
  <c r="CK59" i="57"/>
  <c r="CJ59" i="57"/>
  <c r="CJ58" i="57" s="1"/>
  <c r="CI59" i="57"/>
  <c r="CH59" i="57"/>
  <c r="CG59" i="57"/>
  <c r="CF59" i="57"/>
  <c r="CE59" i="57"/>
  <c r="CD59" i="57"/>
  <c r="CC59" i="57"/>
  <c r="CB59" i="57"/>
  <c r="CA59" i="57"/>
  <c r="BZ59" i="57"/>
  <c r="BY59" i="57"/>
  <c r="BX59" i="57"/>
  <c r="BW59" i="57"/>
  <c r="BV59" i="57"/>
  <c r="BV58" i="57" s="1"/>
  <c r="BU59" i="57"/>
  <c r="BT59" i="57"/>
  <c r="BS59" i="57"/>
  <c r="BR59" i="57"/>
  <c r="BQ59" i="57"/>
  <c r="BP59" i="57"/>
  <c r="BO59" i="57"/>
  <c r="BN59" i="57"/>
  <c r="BM59" i="57"/>
  <c r="BL59" i="57"/>
  <c r="BL58" i="57" s="1"/>
  <c r="BK59" i="57"/>
  <c r="BJ59" i="57"/>
  <c r="BI59" i="57"/>
  <c r="BH59" i="57"/>
  <c r="BG59" i="57"/>
  <c r="BF59" i="57"/>
  <c r="BE59" i="57"/>
  <c r="BD59" i="57"/>
  <c r="BC59" i="57"/>
  <c r="BB59" i="57"/>
  <c r="BA59" i="57"/>
  <c r="AZ59" i="57"/>
  <c r="AY59" i="57"/>
  <c r="AX59" i="57"/>
  <c r="AX58" i="57" s="1"/>
  <c r="AW59" i="57"/>
  <c r="AV59" i="57"/>
  <c r="AU59" i="57"/>
  <c r="AT59" i="57"/>
  <c r="AS59" i="57"/>
  <c r="AR59" i="57"/>
  <c r="AQ59" i="57"/>
  <c r="AP59" i="57"/>
  <c r="AO59" i="57"/>
  <c r="AN59" i="57"/>
  <c r="AN58" i="57" s="1"/>
  <c r="AM59" i="57"/>
  <c r="AL59" i="57"/>
  <c r="AK59" i="57"/>
  <c r="AJ59" i="57"/>
  <c r="AI59" i="57"/>
  <c r="AH59" i="57"/>
  <c r="AG59" i="57"/>
  <c r="AF59" i="57"/>
  <c r="AE59" i="57"/>
  <c r="AD59" i="57"/>
  <c r="AC59" i="57"/>
  <c r="AB59" i="57"/>
  <c r="AA59" i="57"/>
  <c r="Z59" i="57"/>
  <c r="Z58" i="57" s="1"/>
  <c r="Y59" i="57"/>
  <c r="X59" i="57"/>
  <c r="W59" i="57"/>
  <c r="V59" i="57"/>
  <c r="U59" i="57"/>
  <c r="T59" i="57"/>
  <c r="S59" i="57"/>
  <c r="R59" i="57"/>
  <c r="Q59" i="57"/>
  <c r="P59" i="57"/>
  <c r="P58" i="57" s="1"/>
  <c r="O59" i="57"/>
  <c r="N59" i="57"/>
  <c r="M59" i="57"/>
  <c r="L59" i="57"/>
  <c r="K59" i="57"/>
  <c r="J59" i="57"/>
  <c r="I59" i="57"/>
  <c r="H59" i="57"/>
  <c r="G59" i="57"/>
  <c r="F59" i="57"/>
  <c r="E59" i="57"/>
  <c r="D59" i="57"/>
  <c r="C59" i="57"/>
  <c r="DH58" i="57"/>
  <c r="CB58" i="57"/>
  <c r="AF58" i="57"/>
  <c r="H58" i="57"/>
  <c r="EH57" i="57"/>
  <c r="EG57" i="57"/>
  <c r="EF57" i="57"/>
  <c r="EE57" i="57"/>
  <c r="B57" i="57"/>
  <c r="ED56" i="57"/>
  <c r="ED55" i="57" s="1"/>
  <c r="EC56" i="57"/>
  <c r="EB56" i="57"/>
  <c r="EB55" i="57" s="1"/>
  <c r="EA56" i="57"/>
  <c r="EA55" i="57" s="1"/>
  <c r="DZ56" i="57"/>
  <c r="DZ55" i="57" s="1"/>
  <c r="DY56" i="57"/>
  <c r="DY55" i="57" s="1"/>
  <c r="DX56" i="57"/>
  <c r="DX55" i="57" s="1"/>
  <c r="DW56" i="57"/>
  <c r="DW55" i="57" s="1"/>
  <c r="DV56" i="57"/>
  <c r="DV55" i="57" s="1"/>
  <c r="DU56" i="57"/>
  <c r="DT56" i="57"/>
  <c r="DT55" i="57" s="1"/>
  <c r="DS56" i="57"/>
  <c r="DS55" i="57" s="1"/>
  <c r="DR56" i="57"/>
  <c r="DQ56" i="57"/>
  <c r="DP56" i="57"/>
  <c r="DO56" i="57"/>
  <c r="DO55" i="57" s="1"/>
  <c r="DN56" i="57"/>
  <c r="DN55" i="57" s="1"/>
  <c r="DM56" i="57"/>
  <c r="DL56" i="57"/>
  <c r="DL55" i="57" s="1"/>
  <c r="DK56" i="57"/>
  <c r="DK55" i="57" s="1"/>
  <c r="DJ56" i="57"/>
  <c r="DI56" i="57"/>
  <c r="DH56" i="57"/>
  <c r="DH55" i="57" s="1"/>
  <c r="DG56" i="57"/>
  <c r="DG55" i="57" s="1"/>
  <c r="DF56" i="57"/>
  <c r="DF55" i="57" s="1"/>
  <c r="DE56" i="57"/>
  <c r="DE55" i="57" s="1"/>
  <c r="DD56" i="57"/>
  <c r="DD55" i="57" s="1"/>
  <c r="DC56" i="57"/>
  <c r="DC55" i="57" s="1"/>
  <c r="DB56" i="57"/>
  <c r="DA56" i="57"/>
  <c r="CZ56" i="57"/>
  <c r="CZ55" i="57" s="1"/>
  <c r="CY56" i="57"/>
  <c r="CY55" i="57" s="1"/>
  <c r="CX56" i="57"/>
  <c r="CX55" i="57" s="1"/>
  <c r="CW56" i="57"/>
  <c r="CV56" i="57"/>
  <c r="CV55" i="57" s="1"/>
  <c r="CU56" i="57"/>
  <c r="CU55" i="57" s="1"/>
  <c r="CT56" i="57"/>
  <c r="CT55" i="57" s="1"/>
  <c r="CS56" i="57"/>
  <c r="CR56" i="57"/>
  <c r="CR55" i="57" s="1"/>
  <c r="CQ56" i="57"/>
  <c r="CQ55" i="57" s="1"/>
  <c r="CP56" i="57"/>
  <c r="CP55" i="57" s="1"/>
  <c r="CO56" i="57"/>
  <c r="CO55" i="57" s="1"/>
  <c r="CN56" i="57"/>
  <c r="CN55" i="57" s="1"/>
  <c r="CM56" i="57"/>
  <c r="CM55" i="57" s="1"/>
  <c r="CL56" i="57"/>
  <c r="CK56" i="57"/>
  <c r="CJ56" i="57"/>
  <c r="CJ55" i="57" s="1"/>
  <c r="CI56" i="57"/>
  <c r="CI55" i="57" s="1"/>
  <c r="CH56" i="57"/>
  <c r="CH55" i="57" s="1"/>
  <c r="CG56" i="57"/>
  <c r="CG55" i="57" s="1"/>
  <c r="CF56" i="57"/>
  <c r="CF55" i="57" s="1"/>
  <c r="CE56" i="57"/>
  <c r="CE55" i="57" s="1"/>
  <c r="CD56" i="57"/>
  <c r="CD55" i="57" s="1"/>
  <c r="CC56" i="57"/>
  <c r="CC55" i="57" s="1"/>
  <c r="CB56" i="57"/>
  <c r="CB55" i="57" s="1"/>
  <c r="CA56" i="57"/>
  <c r="CA55" i="57" s="1"/>
  <c r="BZ56" i="57"/>
  <c r="BZ55" i="57" s="1"/>
  <c r="BY56" i="57"/>
  <c r="BX56" i="57"/>
  <c r="BX55" i="57" s="1"/>
  <c r="BW56" i="57"/>
  <c r="BW55" i="57" s="1"/>
  <c r="BV56" i="57"/>
  <c r="BU56" i="57"/>
  <c r="BT56" i="57"/>
  <c r="BT55" i="57" s="1"/>
  <c r="BS56" i="57"/>
  <c r="BS55" i="57" s="1"/>
  <c r="BR56" i="57"/>
  <c r="BR55" i="57" s="1"/>
  <c r="BQ56" i="57"/>
  <c r="BP56" i="57"/>
  <c r="BP55" i="57" s="1"/>
  <c r="BO56" i="57"/>
  <c r="BO55" i="57" s="1"/>
  <c r="BN56" i="57"/>
  <c r="BM56" i="57"/>
  <c r="BL56" i="57"/>
  <c r="BL55" i="57" s="1"/>
  <c r="BK56" i="57"/>
  <c r="BK55" i="57" s="1"/>
  <c r="BJ56" i="57"/>
  <c r="BJ55" i="57" s="1"/>
  <c r="BI56" i="57"/>
  <c r="BH56" i="57"/>
  <c r="BH55" i="57" s="1"/>
  <c r="BG56" i="57"/>
  <c r="BG55" i="57" s="1"/>
  <c r="BF56" i="57"/>
  <c r="BF55" i="57" s="1"/>
  <c r="BE56" i="57"/>
  <c r="BE55" i="57" s="1"/>
  <c r="BD56" i="57"/>
  <c r="BD55" i="57" s="1"/>
  <c r="BC56" i="57"/>
  <c r="BC55" i="57" s="1"/>
  <c r="BB56" i="57"/>
  <c r="BB55" i="57" s="1"/>
  <c r="BA56" i="57"/>
  <c r="AZ56" i="57"/>
  <c r="AZ55" i="57" s="1"/>
  <c r="AY56" i="57"/>
  <c r="AY55" i="57" s="1"/>
  <c r="AX56" i="57"/>
  <c r="AW56" i="57"/>
  <c r="AV56" i="57"/>
  <c r="AV55" i="57" s="1"/>
  <c r="AU56" i="57"/>
  <c r="AU55" i="57" s="1"/>
  <c r="AT56" i="57"/>
  <c r="AT55" i="57" s="1"/>
  <c r="AS56" i="57"/>
  <c r="AS55" i="57" s="1"/>
  <c r="AR56" i="57"/>
  <c r="AR55" i="57" s="1"/>
  <c r="AQ56" i="57"/>
  <c r="AQ55" i="57" s="1"/>
  <c r="AP56" i="57"/>
  <c r="AO56" i="57"/>
  <c r="AN56" i="57"/>
  <c r="AM56" i="57"/>
  <c r="AM55" i="57" s="1"/>
  <c r="AL56" i="57"/>
  <c r="AL55" i="57" s="1"/>
  <c r="AK56" i="57"/>
  <c r="AJ56" i="57"/>
  <c r="AJ55" i="57" s="1"/>
  <c r="AI56" i="57"/>
  <c r="AI55" i="57" s="1"/>
  <c r="AH56" i="57"/>
  <c r="AG56" i="57"/>
  <c r="AG55" i="57" s="1"/>
  <c r="AF56" i="57"/>
  <c r="AF55" i="57" s="1"/>
  <c r="AE56" i="57"/>
  <c r="AE55" i="57" s="1"/>
  <c r="AD56" i="57"/>
  <c r="AD55" i="57" s="1"/>
  <c r="AC56" i="57"/>
  <c r="AB56" i="57"/>
  <c r="AB55" i="57" s="1"/>
  <c r="AA56" i="57"/>
  <c r="AA55" i="57" s="1"/>
  <c r="Z56" i="57"/>
  <c r="Z55" i="57" s="1"/>
  <c r="Y56" i="57"/>
  <c r="X56" i="57"/>
  <c r="X55" i="57" s="1"/>
  <c r="W56" i="57"/>
  <c r="W55" i="57" s="1"/>
  <c r="V56" i="57"/>
  <c r="V55" i="57" s="1"/>
  <c r="U56" i="57"/>
  <c r="U55" i="57" s="1"/>
  <c r="T56" i="57"/>
  <c r="T55" i="57" s="1"/>
  <c r="S56" i="57"/>
  <c r="S55" i="57" s="1"/>
  <c r="R56" i="57"/>
  <c r="Q56" i="57"/>
  <c r="P56" i="57"/>
  <c r="P55" i="57" s="1"/>
  <c r="O56" i="57"/>
  <c r="O55" i="57" s="1"/>
  <c r="N56" i="57"/>
  <c r="N55" i="57" s="1"/>
  <c r="M56" i="57"/>
  <c r="L56" i="57"/>
  <c r="L55" i="57" s="1"/>
  <c r="K56" i="57"/>
  <c r="K55" i="57" s="1"/>
  <c r="J56" i="57"/>
  <c r="I56" i="57"/>
  <c r="H56" i="57"/>
  <c r="G56" i="57"/>
  <c r="G55" i="57" s="1"/>
  <c r="F56" i="57"/>
  <c r="E56" i="57"/>
  <c r="E55" i="57" s="1"/>
  <c r="D56" i="57"/>
  <c r="D55" i="57" s="1"/>
  <c r="C56" i="57"/>
  <c r="EC55" i="57"/>
  <c r="DU55" i="57"/>
  <c r="DR55" i="57"/>
  <c r="DQ55" i="57"/>
  <c r="DP55" i="57"/>
  <c r="DM55" i="57"/>
  <c r="DJ55" i="57"/>
  <c r="DI55" i="57"/>
  <c r="DB55" i="57"/>
  <c r="DA55" i="57"/>
  <c r="CW55" i="57"/>
  <c r="CS55" i="57"/>
  <c r="CL55" i="57"/>
  <c r="CK55" i="57"/>
  <c r="BY55" i="57"/>
  <c r="BV55" i="57"/>
  <c r="BU55" i="57"/>
  <c r="BQ55" i="57"/>
  <c r="BN55" i="57"/>
  <c r="BM55" i="57"/>
  <c r="BI55" i="57"/>
  <c r="BA55" i="57"/>
  <c r="AX55" i="57"/>
  <c r="AW55" i="57"/>
  <c r="AP55" i="57"/>
  <c r="AO55" i="57"/>
  <c r="AN55" i="57"/>
  <c r="AK55" i="57"/>
  <c r="AH55" i="57"/>
  <c r="AC55" i="57"/>
  <c r="Y55" i="57"/>
  <c r="R55" i="57"/>
  <c r="Q55" i="57"/>
  <c r="M55" i="57"/>
  <c r="J55" i="57"/>
  <c r="EH54" i="57"/>
  <c r="EG54" i="57"/>
  <c r="EF54" i="57"/>
  <c r="EE54" i="57"/>
  <c r="EI54" i="57" s="1"/>
  <c r="B54" i="57"/>
  <c r="EI53" i="57"/>
  <c r="EH53" i="57"/>
  <c r="EG53" i="57"/>
  <c r="EF53" i="57"/>
  <c r="EE53" i="57"/>
  <c r="B53" i="57"/>
  <c r="EH52" i="57"/>
  <c r="EG52" i="57"/>
  <c r="EF52" i="57"/>
  <c r="EE52" i="57"/>
  <c r="EI52" i="57" s="1"/>
  <c r="B52" i="57"/>
  <c r="EH51" i="57"/>
  <c r="EG51" i="57"/>
  <c r="EF51" i="57"/>
  <c r="EE51" i="57"/>
  <c r="B51" i="57"/>
  <c r="EH50" i="57"/>
  <c r="EG50" i="57"/>
  <c r="EF50" i="57"/>
  <c r="CE50" i="57"/>
  <c r="B50" i="57"/>
  <c r="ED49" i="57"/>
  <c r="EC49" i="57"/>
  <c r="EB49" i="57"/>
  <c r="EA49" i="57"/>
  <c r="DZ49" i="57"/>
  <c r="DY49" i="57"/>
  <c r="DX49" i="57"/>
  <c r="DW49" i="57"/>
  <c r="DV49" i="57"/>
  <c r="DU49" i="57"/>
  <c r="DT49" i="57"/>
  <c r="DS49" i="57"/>
  <c r="DR49" i="57"/>
  <c r="DQ49" i="57"/>
  <c r="DP49" i="57"/>
  <c r="DO49" i="57"/>
  <c r="DN49" i="57"/>
  <c r="DM49" i="57"/>
  <c r="DL49" i="57"/>
  <c r="DK49" i="57"/>
  <c r="DJ49" i="57"/>
  <c r="DI49" i="57"/>
  <c r="DH49" i="57"/>
  <c r="DG49" i="57"/>
  <c r="DG45" i="57" s="1"/>
  <c r="DF49" i="57"/>
  <c r="DE49" i="57"/>
  <c r="DD49" i="57"/>
  <c r="DC49" i="57"/>
  <c r="DB49" i="57"/>
  <c r="DA49" i="57"/>
  <c r="CZ49" i="57"/>
  <c r="CY49" i="57"/>
  <c r="CX49" i="57"/>
  <c r="CW49" i="57"/>
  <c r="CV49" i="57"/>
  <c r="CU49" i="57"/>
  <c r="CU45" i="57" s="1"/>
  <c r="CT49" i="57"/>
  <c r="CS49" i="57"/>
  <c r="CR49" i="57"/>
  <c r="CQ49" i="57"/>
  <c r="CP49" i="57"/>
  <c r="CO49" i="57"/>
  <c r="CN49" i="57"/>
  <c r="CM49" i="57"/>
  <c r="CL49" i="57"/>
  <c r="CK49" i="57"/>
  <c r="CJ49" i="57"/>
  <c r="CI49" i="57"/>
  <c r="CI45" i="57" s="1"/>
  <c r="CH49" i="57"/>
  <c r="CG49" i="57"/>
  <c r="CF49" i="57"/>
  <c r="CD49" i="57"/>
  <c r="CC49" i="57"/>
  <c r="CB49" i="57"/>
  <c r="CA49" i="57"/>
  <c r="BZ49" i="57"/>
  <c r="BY49" i="57"/>
  <c r="BX49" i="57"/>
  <c r="BW49" i="57"/>
  <c r="BW45" i="57" s="1"/>
  <c r="BV49" i="57"/>
  <c r="BV45" i="57" s="1"/>
  <c r="BU49" i="57"/>
  <c r="BT49" i="57"/>
  <c r="BS49" i="57"/>
  <c r="BR49" i="57"/>
  <c r="BQ49" i="57"/>
  <c r="BP49" i="57"/>
  <c r="BO49" i="57"/>
  <c r="BN49" i="57"/>
  <c r="BM49" i="57"/>
  <c r="BL49" i="57"/>
  <c r="BK49" i="57"/>
  <c r="BJ49" i="57"/>
  <c r="BI49" i="57"/>
  <c r="BH49" i="57"/>
  <c r="BG49" i="57"/>
  <c r="BF49" i="57"/>
  <c r="BE49" i="57"/>
  <c r="BD49" i="57"/>
  <c r="BC49" i="57"/>
  <c r="BB49" i="57"/>
  <c r="BA49" i="57"/>
  <c r="AZ49" i="57"/>
  <c r="AZ45" i="57" s="1"/>
  <c r="AY49" i="57"/>
  <c r="AY45" i="57" s="1"/>
  <c r="AX49" i="57"/>
  <c r="AW49" i="57"/>
  <c r="AV49" i="57"/>
  <c r="AU49" i="57"/>
  <c r="AT49" i="57"/>
  <c r="AS49" i="57"/>
  <c r="AR49" i="57"/>
  <c r="AQ49" i="57"/>
  <c r="AP49" i="57"/>
  <c r="AO49" i="57"/>
  <c r="AN49" i="57"/>
  <c r="AM49" i="57"/>
  <c r="AM45" i="57" s="1"/>
  <c r="AL49" i="57"/>
  <c r="AK49" i="57"/>
  <c r="AJ49" i="57"/>
  <c r="AI49" i="57"/>
  <c r="AH49" i="57"/>
  <c r="AG49" i="57"/>
  <c r="AF49" i="57"/>
  <c r="AE49" i="57"/>
  <c r="AD49" i="57"/>
  <c r="AC49" i="57"/>
  <c r="AB49" i="57"/>
  <c r="AA49" i="57"/>
  <c r="AA45" i="57" s="1"/>
  <c r="Z49" i="57"/>
  <c r="Y49" i="57"/>
  <c r="X49" i="57"/>
  <c r="W49" i="57"/>
  <c r="V49" i="57"/>
  <c r="U49" i="57"/>
  <c r="T49" i="57"/>
  <c r="S49" i="57"/>
  <c r="R49" i="57"/>
  <c r="Q49" i="57"/>
  <c r="P49" i="57"/>
  <c r="O49" i="57"/>
  <c r="N49" i="57"/>
  <c r="M49" i="57"/>
  <c r="L49" i="57"/>
  <c r="K49" i="57"/>
  <c r="J49" i="57"/>
  <c r="I49" i="57"/>
  <c r="H49" i="57"/>
  <c r="G49" i="57"/>
  <c r="F49" i="57"/>
  <c r="E49" i="57"/>
  <c r="D49" i="57"/>
  <c r="C49" i="57"/>
  <c r="EH48" i="57"/>
  <c r="EG48" i="57"/>
  <c r="EF48" i="57"/>
  <c r="AQ48" i="57"/>
  <c r="B48" i="57"/>
  <c r="EH47" i="57"/>
  <c r="EG47" i="57"/>
  <c r="EF47" i="57"/>
  <c r="EE47" i="57"/>
  <c r="EI47" i="57" s="1"/>
  <c r="B47" i="57"/>
  <c r="EH46" i="57"/>
  <c r="ED46" i="57"/>
  <c r="EC46" i="57"/>
  <c r="EC45" i="57" s="1"/>
  <c r="EB46" i="57"/>
  <c r="EB45" i="57" s="1"/>
  <c r="EA46" i="57"/>
  <c r="EA45" i="57" s="1"/>
  <c r="DZ46" i="57"/>
  <c r="DY46" i="57"/>
  <c r="DX46" i="57"/>
  <c r="DX45" i="57" s="1"/>
  <c r="DW46" i="57"/>
  <c r="DV46" i="57"/>
  <c r="DV45" i="57" s="1"/>
  <c r="DU46" i="57"/>
  <c r="DU45" i="57" s="1"/>
  <c r="DT46" i="57"/>
  <c r="DS46" i="57"/>
  <c r="DR46" i="57"/>
  <c r="DQ46" i="57"/>
  <c r="DQ45" i="57" s="1"/>
  <c r="DP46" i="57"/>
  <c r="DP45" i="57" s="1"/>
  <c r="DO46" i="57"/>
  <c r="DN46" i="57"/>
  <c r="DN45" i="57" s="1"/>
  <c r="DM46" i="57"/>
  <c r="DL46" i="57"/>
  <c r="DK46" i="57"/>
  <c r="DJ46" i="57"/>
  <c r="DI46" i="57"/>
  <c r="DI45" i="57" s="1"/>
  <c r="DH46" i="57"/>
  <c r="DG46" i="57"/>
  <c r="DF46" i="57"/>
  <c r="DE46" i="57"/>
  <c r="DD46" i="57"/>
  <c r="DD45" i="57" s="1"/>
  <c r="DC46" i="57"/>
  <c r="DB46" i="57"/>
  <c r="DB45" i="57" s="1"/>
  <c r="DA46" i="57"/>
  <c r="CZ46" i="57"/>
  <c r="CZ45" i="57" s="1"/>
  <c r="CY46" i="57"/>
  <c r="CX46" i="57"/>
  <c r="CX45" i="57" s="1"/>
  <c r="CW46" i="57"/>
  <c r="CW45" i="57" s="1"/>
  <c r="CV46" i="57"/>
  <c r="CV45" i="57" s="1"/>
  <c r="CU46" i="57"/>
  <c r="CT46" i="57"/>
  <c r="CS46" i="57"/>
  <c r="CS45" i="57" s="1"/>
  <c r="CR46" i="57"/>
  <c r="CR45" i="57" s="1"/>
  <c r="CQ46" i="57"/>
  <c r="CP46" i="57"/>
  <c r="CP45" i="57" s="1"/>
  <c r="CO46" i="57"/>
  <c r="CN46" i="57"/>
  <c r="CM46" i="57"/>
  <c r="CL46" i="57"/>
  <c r="CK46" i="57"/>
  <c r="CK45" i="57" s="1"/>
  <c r="CJ46" i="57"/>
  <c r="CI46" i="57"/>
  <c r="CH46" i="57"/>
  <c r="CG46" i="57"/>
  <c r="CG45" i="57" s="1"/>
  <c r="CF46" i="57"/>
  <c r="CF45" i="57" s="1"/>
  <c r="CE46" i="57"/>
  <c r="CD46" i="57"/>
  <c r="CC46" i="57"/>
  <c r="CB46" i="57"/>
  <c r="CB45" i="57" s="1"/>
  <c r="CA46" i="57"/>
  <c r="BZ46" i="57"/>
  <c r="BZ45" i="57" s="1"/>
  <c r="BY46" i="57"/>
  <c r="BY45" i="57" s="1"/>
  <c r="BX46" i="57"/>
  <c r="BW46" i="57"/>
  <c r="BV46" i="57"/>
  <c r="BU46" i="57"/>
  <c r="BU45" i="57" s="1"/>
  <c r="BT46" i="57"/>
  <c r="BT45" i="57" s="1"/>
  <c r="BS46" i="57"/>
  <c r="BR46" i="57"/>
  <c r="BR45" i="57" s="1"/>
  <c r="BQ46" i="57"/>
  <c r="BP46" i="57"/>
  <c r="BO46" i="57"/>
  <c r="BN46" i="57"/>
  <c r="BM46" i="57"/>
  <c r="BM45" i="57" s="1"/>
  <c r="BL46" i="57"/>
  <c r="BK46" i="57"/>
  <c r="BJ46" i="57"/>
  <c r="BI46" i="57"/>
  <c r="BI45" i="57" s="1"/>
  <c r="BH46" i="57"/>
  <c r="BH45" i="57" s="1"/>
  <c r="BG46" i="57"/>
  <c r="BG45" i="57" s="1"/>
  <c r="BF46" i="57"/>
  <c r="BE46" i="57"/>
  <c r="BD46" i="57"/>
  <c r="BD45" i="57" s="1"/>
  <c r="BC46" i="57"/>
  <c r="BB46" i="57"/>
  <c r="BB45" i="57" s="1"/>
  <c r="BA46" i="57"/>
  <c r="BA45" i="57" s="1"/>
  <c r="AZ46" i="57"/>
  <c r="AY46" i="57"/>
  <c r="AX46" i="57"/>
  <c r="AW46" i="57"/>
  <c r="AW45" i="57" s="1"/>
  <c r="AV46" i="57"/>
  <c r="AV45" i="57" s="1"/>
  <c r="AU46" i="57"/>
  <c r="AT46" i="57"/>
  <c r="AT45" i="57" s="1"/>
  <c r="AS46" i="57"/>
  <c r="AR46" i="57"/>
  <c r="AP46" i="57"/>
  <c r="AO46" i="57"/>
  <c r="AN46" i="57"/>
  <c r="AM46" i="57"/>
  <c r="AL46" i="57"/>
  <c r="AK46" i="57"/>
  <c r="AK45" i="57" s="1"/>
  <c r="AJ46" i="57"/>
  <c r="AI46" i="57"/>
  <c r="AI45" i="57" s="1"/>
  <c r="AH46" i="57"/>
  <c r="AH45" i="57" s="1"/>
  <c r="AG46" i="57"/>
  <c r="AF46" i="57"/>
  <c r="AF45" i="57" s="1"/>
  <c r="AE46" i="57"/>
  <c r="AD46" i="57"/>
  <c r="AD45" i="57" s="1"/>
  <c r="AC46" i="57"/>
  <c r="AB46" i="57"/>
  <c r="AA46" i="57"/>
  <c r="Z46" i="57"/>
  <c r="Y46" i="57"/>
  <c r="Y45" i="57" s="1"/>
  <c r="X46" i="57"/>
  <c r="X45" i="57" s="1"/>
  <c r="W46" i="57"/>
  <c r="V46" i="57"/>
  <c r="V45" i="57" s="1"/>
  <c r="U46" i="57"/>
  <c r="T46" i="57"/>
  <c r="S46" i="57"/>
  <c r="R46" i="57"/>
  <c r="Q46" i="57"/>
  <c r="P46" i="57"/>
  <c r="O46" i="57"/>
  <c r="N46" i="57"/>
  <c r="M46" i="57"/>
  <c r="L46" i="57"/>
  <c r="K46" i="57"/>
  <c r="K45" i="57" s="1"/>
  <c r="J46" i="57"/>
  <c r="I46" i="57"/>
  <c r="H46" i="57"/>
  <c r="H45" i="57" s="1"/>
  <c r="G46" i="57"/>
  <c r="F46" i="57"/>
  <c r="F45" i="57" s="1"/>
  <c r="E46" i="57"/>
  <c r="D46" i="57"/>
  <c r="C46" i="57"/>
  <c r="DW45" i="57"/>
  <c r="DT45" i="57"/>
  <c r="DL45" i="57"/>
  <c r="DE45" i="57"/>
  <c r="DC45" i="57"/>
  <c r="CY45" i="57"/>
  <c r="CT45" i="57"/>
  <c r="CN45" i="57"/>
  <c r="CM45" i="57"/>
  <c r="CA45" i="57"/>
  <c r="BX45" i="57"/>
  <c r="BS45" i="57"/>
  <c r="BP45" i="57"/>
  <c r="BO45" i="57"/>
  <c r="BC45" i="57"/>
  <c r="AR45" i="57"/>
  <c r="AJ45" i="57"/>
  <c r="AE45" i="57"/>
  <c r="AB45" i="57"/>
  <c r="W45" i="57"/>
  <c r="T45" i="57"/>
  <c r="S45" i="57"/>
  <c r="M45" i="57"/>
  <c r="L45" i="57"/>
  <c r="G45" i="57"/>
  <c r="EH44" i="57"/>
  <c r="EG44" i="57"/>
  <c r="EF44" i="57"/>
  <c r="EE44" i="57"/>
  <c r="EI44" i="57" s="1"/>
  <c r="B44" i="57"/>
  <c r="ED43" i="57"/>
  <c r="EC43" i="57"/>
  <c r="EB43" i="57"/>
  <c r="EA43" i="57"/>
  <c r="DZ43" i="57"/>
  <c r="DY43" i="57"/>
  <c r="DX43" i="57"/>
  <c r="DW43" i="57"/>
  <c r="DV43" i="57"/>
  <c r="DU43" i="57"/>
  <c r="DT43" i="57"/>
  <c r="DS43" i="57"/>
  <c r="DR43" i="57"/>
  <c r="DQ43" i="57"/>
  <c r="DP43" i="57"/>
  <c r="DO43" i="57"/>
  <c r="DN43" i="57"/>
  <c r="DM43" i="57"/>
  <c r="DL43" i="57"/>
  <c r="DK43" i="57"/>
  <c r="DJ43" i="57"/>
  <c r="DI43" i="57"/>
  <c r="DH43" i="57"/>
  <c r="DG43" i="57"/>
  <c r="DF43" i="57"/>
  <c r="DE43" i="57"/>
  <c r="DD43" i="57"/>
  <c r="DC43"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EE43" i="57" s="1"/>
  <c r="F43" i="57"/>
  <c r="E43" i="57"/>
  <c r="D43" i="57"/>
  <c r="EF43" i="57" s="1"/>
  <c r="C43" i="57"/>
  <c r="B43" i="57"/>
  <c r="EH42" i="57"/>
  <c r="EG42" i="57"/>
  <c r="EF42" i="57"/>
  <c r="EE42" i="57"/>
  <c r="CM42" i="57"/>
  <c r="B42" i="57"/>
  <c r="EI42" i="57" s="1"/>
  <c r="EF41" i="57"/>
  <c r="ED41" i="57"/>
  <c r="EC41" i="57"/>
  <c r="EB41" i="57"/>
  <c r="EA41" i="57"/>
  <c r="DZ41" i="57"/>
  <c r="DY41" i="57"/>
  <c r="DX41" i="57"/>
  <c r="DW41" i="57"/>
  <c r="DV41" i="57"/>
  <c r="DU41" i="57"/>
  <c r="DT41" i="57"/>
  <c r="DS41" i="57"/>
  <c r="DR41" i="57"/>
  <c r="DQ41" i="57"/>
  <c r="DP41" i="57"/>
  <c r="DO41" i="57"/>
  <c r="DN41" i="57"/>
  <c r="DM41" i="57"/>
  <c r="DL41" i="57"/>
  <c r="DK41" i="57"/>
  <c r="DJ41" i="57"/>
  <c r="DI41" i="57"/>
  <c r="DH41" i="57"/>
  <c r="DG41" i="57"/>
  <c r="DF41" i="57"/>
  <c r="DE41" i="57"/>
  <c r="DD41" i="57"/>
  <c r="DC41"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EH41" i="57" s="1"/>
  <c r="M41" i="57"/>
  <c r="L41" i="57"/>
  <c r="K41" i="57"/>
  <c r="J41" i="57"/>
  <c r="I41" i="57"/>
  <c r="H41" i="57"/>
  <c r="G41" i="57"/>
  <c r="F41" i="57"/>
  <c r="E41" i="57"/>
  <c r="D41" i="57"/>
  <c r="C41" i="57"/>
  <c r="B41" i="57"/>
  <c r="EH40" i="57"/>
  <c r="EG40" i="57"/>
  <c r="EF40" i="57"/>
  <c r="EE40" i="57"/>
  <c r="EI40" i="57" s="1"/>
  <c r="B40" i="57"/>
  <c r="EH39" i="57"/>
  <c r="EG39" i="57"/>
  <c r="EF39" i="57"/>
  <c r="EE39" i="57"/>
  <c r="EI39" i="57" s="1"/>
  <c r="B39" i="57"/>
  <c r="B38" i="57" s="1"/>
  <c r="ED38" i="57"/>
  <c r="EC38" i="57"/>
  <c r="EB38" i="57"/>
  <c r="EA38" i="57"/>
  <c r="DZ38" i="57"/>
  <c r="DY38" i="57"/>
  <c r="DX38" i="57"/>
  <c r="DW38" i="57"/>
  <c r="DV38" i="57"/>
  <c r="DU38" i="57"/>
  <c r="DT38" i="57"/>
  <c r="DS38" i="57"/>
  <c r="DR38" i="57"/>
  <c r="DQ38" i="57"/>
  <c r="DP38" i="57"/>
  <c r="DO38" i="57"/>
  <c r="DN38" i="57"/>
  <c r="DM38" i="57"/>
  <c r="DL38" i="57"/>
  <c r="DK38" i="57"/>
  <c r="DJ38" i="57"/>
  <c r="DI38" i="57"/>
  <c r="DH38" i="57"/>
  <c r="DG38" i="57"/>
  <c r="DF38" i="57"/>
  <c r="DE38" i="57"/>
  <c r="DD38" i="57"/>
  <c r="DC38"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EG38" i="57" s="1"/>
  <c r="D38" i="57"/>
  <c r="C38" i="57"/>
  <c r="EE38" i="57" s="1"/>
  <c r="EI38" i="57" s="1"/>
  <c r="EH37" i="57"/>
  <c r="EG37" i="57"/>
  <c r="EF37" i="57"/>
  <c r="EE37" i="57"/>
  <c r="EI37" i="57" s="1"/>
  <c r="B37" i="57"/>
  <c r="B36" i="57" s="1"/>
  <c r="ED36" i="57"/>
  <c r="EC36" i="57"/>
  <c r="EB36" i="57"/>
  <c r="EA36" i="57"/>
  <c r="DZ36" i="57"/>
  <c r="DZ33" i="57" s="1"/>
  <c r="DY36" i="57"/>
  <c r="DX36" i="57"/>
  <c r="DW36" i="57"/>
  <c r="DV36" i="57"/>
  <c r="DU36" i="57"/>
  <c r="DT36" i="57"/>
  <c r="DS36" i="57"/>
  <c r="DR36" i="57"/>
  <c r="DQ36" i="57"/>
  <c r="DP36" i="57"/>
  <c r="DO36" i="57"/>
  <c r="DN36" i="57"/>
  <c r="DM36" i="57"/>
  <c r="DM33" i="57" s="1"/>
  <c r="DL36" i="57"/>
  <c r="DK36" i="57"/>
  <c r="DJ36" i="57"/>
  <c r="DI36" i="57"/>
  <c r="DI33" i="57" s="1"/>
  <c r="DH36" i="57"/>
  <c r="DG36" i="57"/>
  <c r="DF36" i="57"/>
  <c r="DE36" i="57"/>
  <c r="DD36" i="57"/>
  <c r="DC36" i="57"/>
  <c r="DB36" i="57"/>
  <c r="DA36" i="57"/>
  <c r="CZ36" i="57"/>
  <c r="CY36" i="57"/>
  <c r="CX36" i="57"/>
  <c r="CW36" i="57"/>
  <c r="CV36" i="57"/>
  <c r="CU36" i="57"/>
  <c r="CT36" i="57"/>
  <c r="CS36" i="57"/>
  <c r="CR36" i="57"/>
  <c r="CQ36" i="57"/>
  <c r="CP36" i="57"/>
  <c r="CO36" i="57"/>
  <c r="CN36" i="57"/>
  <c r="CM36" i="57"/>
  <c r="CL36" i="57"/>
  <c r="CK36" i="57"/>
  <c r="CK33" i="57" s="1"/>
  <c r="CJ36" i="57"/>
  <c r="CI36" i="57"/>
  <c r="CH36" i="57"/>
  <c r="CG36" i="57"/>
  <c r="CF36" i="57"/>
  <c r="CE36" i="57"/>
  <c r="CD36" i="57"/>
  <c r="CC36" i="57"/>
  <c r="CB36" i="57"/>
  <c r="CA36" i="57"/>
  <c r="BZ36" i="57"/>
  <c r="BY36" i="57"/>
  <c r="BX36" i="57"/>
  <c r="BW36" i="57"/>
  <c r="BV36" i="57"/>
  <c r="BU36" i="57"/>
  <c r="BT36" i="57"/>
  <c r="BS36" i="57"/>
  <c r="BR36" i="57"/>
  <c r="BQ36" i="57"/>
  <c r="BQ33" i="57" s="1"/>
  <c r="BP36" i="57"/>
  <c r="BO36" i="57"/>
  <c r="BN36" i="57"/>
  <c r="BM36" i="57"/>
  <c r="BL36" i="57"/>
  <c r="BK36" i="57"/>
  <c r="BJ36" i="57"/>
  <c r="BI36" i="57"/>
  <c r="BH36" i="57"/>
  <c r="BG36" i="57"/>
  <c r="BF36" i="57"/>
  <c r="BF33" i="57" s="1"/>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EF36" i="57" s="1"/>
  <c r="G36" i="57"/>
  <c r="F36" i="57"/>
  <c r="E36" i="57"/>
  <c r="D36" i="57"/>
  <c r="C36" i="57"/>
  <c r="AT35" i="57"/>
  <c r="AT34" i="57" s="1"/>
  <c r="AS35" i="57"/>
  <c r="AS34" i="57" s="1"/>
  <c r="AR35" i="57"/>
  <c r="AQ35" i="57"/>
  <c r="AP35" i="57"/>
  <c r="AP34" i="57" s="1"/>
  <c r="AP33" i="57" s="1"/>
  <c r="AO35" i="57"/>
  <c r="AN35" i="57"/>
  <c r="AM35" i="57"/>
  <c r="ED34" i="57"/>
  <c r="EC34" i="57"/>
  <c r="EC33" i="57" s="1"/>
  <c r="EB34" i="57"/>
  <c r="EA34" i="57"/>
  <c r="DZ34" i="57"/>
  <c r="DY34" i="57"/>
  <c r="DX34" i="57"/>
  <c r="DW34" i="57"/>
  <c r="DV34" i="57"/>
  <c r="DU34" i="57"/>
  <c r="DT34" i="57"/>
  <c r="DS34" i="57"/>
  <c r="DR34" i="57"/>
  <c r="DQ34" i="57"/>
  <c r="DP34" i="57"/>
  <c r="DO34" i="57"/>
  <c r="DN34" i="57"/>
  <c r="DM34" i="57"/>
  <c r="DL34" i="57"/>
  <c r="DK34" i="57"/>
  <c r="DJ34" i="57"/>
  <c r="DI34" i="57"/>
  <c r="DH34" i="57"/>
  <c r="DG34" i="57"/>
  <c r="DF34" i="57"/>
  <c r="DE34" i="57"/>
  <c r="DD34" i="57"/>
  <c r="DC34" i="57"/>
  <c r="DB34" i="57"/>
  <c r="DA34" i="57"/>
  <c r="CZ34" i="57"/>
  <c r="CY34" i="57"/>
  <c r="CX34" i="57"/>
  <c r="CX33" i="57" s="1"/>
  <c r="CW34" i="57"/>
  <c r="CV34" i="57"/>
  <c r="CU34" i="57"/>
  <c r="CT34" i="57"/>
  <c r="CS34" i="57"/>
  <c r="CR34" i="57"/>
  <c r="CQ34" i="57"/>
  <c r="CP34" i="57"/>
  <c r="CO34" i="57"/>
  <c r="CN34" i="57"/>
  <c r="CM34" i="57"/>
  <c r="CL34" i="57"/>
  <c r="CL33" i="57" s="1"/>
  <c r="CK34" i="57"/>
  <c r="CJ34" i="57"/>
  <c r="CI34" i="57"/>
  <c r="CH34" i="57"/>
  <c r="CG34" i="57"/>
  <c r="CG33" i="57" s="1"/>
  <c r="CF34" i="57"/>
  <c r="CE34" i="57"/>
  <c r="CD34" i="57"/>
  <c r="CC34" i="57"/>
  <c r="CB34" i="57"/>
  <c r="CA34" i="57"/>
  <c r="BZ34" i="57"/>
  <c r="BY34" i="57"/>
  <c r="BX34" i="57"/>
  <c r="BW34" i="57"/>
  <c r="BV34" i="57"/>
  <c r="BU34" i="57"/>
  <c r="BT34" i="57"/>
  <c r="BS34" i="57"/>
  <c r="BR34" i="57"/>
  <c r="BQ34" i="57"/>
  <c r="BP34" i="57"/>
  <c r="BO34" i="57"/>
  <c r="BN34" i="57"/>
  <c r="BN33" i="57" s="1"/>
  <c r="BM34" i="57"/>
  <c r="BL34" i="57"/>
  <c r="BK34" i="57"/>
  <c r="BJ34" i="57"/>
  <c r="BI34" i="57"/>
  <c r="BH34" i="57"/>
  <c r="BG34" i="57"/>
  <c r="BF34" i="57"/>
  <c r="BE34" i="57"/>
  <c r="BD34" i="57"/>
  <c r="BC34" i="57"/>
  <c r="BB34" i="57"/>
  <c r="BB33" i="57" s="1"/>
  <c r="BA34" i="57"/>
  <c r="AZ34" i="57"/>
  <c r="AY34" i="57"/>
  <c r="AX34" i="57"/>
  <c r="AW34" i="57"/>
  <c r="AV34" i="57"/>
  <c r="AU34" i="57"/>
  <c r="AR34" i="57"/>
  <c r="AQ34" i="57"/>
  <c r="AL34" i="57"/>
  <c r="AK34" i="57"/>
  <c r="AK33" i="57" s="1"/>
  <c r="AJ34" i="57"/>
  <c r="AI34" i="57"/>
  <c r="AH34" i="57"/>
  <c r="AG34" i="57"/>
  <c r="AF34" i="57"/>
  <c r="AF33" i="57" s="1"/>
  <c r="AE34" i="57"/>
  <c r="AD34" i="57"/>
  <c r="AD33" i="57" s="1"/>
  <c r="AC34" i="57"/>
  <c r="AB34" i="57"/>
  <c r="AA34" i="57"/>
  <c r="Z34" i="57"/>
  <c r="Y34" i="57"/>
  <c r="X34" i="57"/>
  <c r="W34" i="57"/>
  <c r="V34" i="57"/>
  <c r="V33" i="57" s="1"/>
  <c r="U34" i="57"/>
  <c r="U33" i="57" s="1"/>
  <c r="T34" i="57"/>
  <c r="T33" i="57" s="1"/>
  <c r="S34" i="57"/>
  <c r="R34" i="57"/>
  <c r="Q34" i="57"/>
  <c r="P34" i="57"/>
  <c r="O34" i="57"/>
  <c r="N34" i="57"/>
  <c r="M34" i="57"/>
  <c r="L34" i="57"/>
  <c r="K34" i="57"/>
  <c r="J34" i="57"/>
  <c r="I34" i="57"/>
  <c r="H34" i="57"/>
  <c r="H33" i="57" s="1"/>
  <c r="G34" i="57"/>
  <c r="F34" i="57"/>
  <c r="E34" i="57"/>
  <c r="D34" i="57"/>
  <c r="C34" i="57"/>
  <c r="DV33" i="57"/>
  <c r="DJ33" i="57"/>
  <c r="CD33" i="57"/>
  <c r="BZ33" i="57"/>
  <c r="AH33" i="57"/>
  <c r="R33" i="57"/>
  <c r="N33" i="57"/>
  <c r="J33" i="57"/>
  <c r="EI32" i="57"/>
  <c r="EH32" i="57"/>
  <c r="EG32" i="57"/>
  <c r="EF32" i="57"/>
  <c r="EE32" i="57"/>
  <c r="B32" i="57"/>
  <c r="EH31" i="57"/>
  <c r="EG31" i="57"/>
  <c r="EF31" i="57"/>
  <c r="EE31" i="57"/>
  <c r="ED30" i="57"/>
  <c r="EC30" i="57"/>
  <c r="EB30" i="57"/>
  <c r="EA30" i="57"/>
  <c r="DZ30" i="57"/>
  <c r="DY30" i="57"/>
  <c r="DX30" i="57"/>
  <c r="DW30" i="57"/>
  <c r="DV30" i="57"/>
  <c r="DU30" i="57"/>
  <c r="DT30" i="57"/>
  <c r="DS30" i="57"/>
  <c r="DR30" i="57"/>
  <c r="DQ30" i="57"/>
  <c r="DP30" i="57"/>
  <c r="DO30" i="57"/>
  <c r="DN30" i="57"/>
  <c r="DM30" i="57"/>
  <c r="DL30" i="57"/>
  <c r="DK30" i="57"/>
  <c r="DJ30" i="57"/>
  <c r="DI30" i="57"/>
  <c r="DH30" i="57"/>
  <c r="DG30" i="57"/>
  <c r="DF30" i="57"/>
  <c r="DE30" i="57"/>
  <c r="DD30" i="57"/>
  <c r="DC30"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F30" i="57"/>
  <c r="EH30" i="57" s="1"/>
  <c r="E30" i="57"/>
  <c r="D30" i="57"/>
  <c r="C30" i="57"/>
  <c r="EH29" i="57"/>
  <c r="EG29" i="57"/>
  <c r="EF29" i="57"/>
  <c r="EE29" i="57"/>
  <c r="EI29" i="57" s="1"/>
  <c r="B29" i="57"/>
  <c r="B28" i="57" s="1"/>
  <c r="ED28" i="57"/>
  <c r="EC28" i="57"/>
  <c r="EB28" i="57"/>
  <c r="EA28" i="57"/>
  <c r="DZ28" i="57"/>
  <c r="DY28" i="57"/>
  <c r="DX28" i="57"/>
  <c r="DW28" i="57"/>
  <c r="DV28" i="57"/>
  <c r="DU28" i="57"/>
  <c r="DT28" i="57"/>
  <c r="DS28" i="57"/>
  <c r="DR28" i="57"/>
  <c r="DQ28" i="57"/>
  <c r="DP28" i="57"/>
  <c r="DO28" i="57"/>
  <c r="DN28" i="57"/>
  <c r="DM28" i="57"/>
  <c r="DL28" i="57"/>
  <c r="DK28" i="57"/>
  <c r="DJ28" i="57"/>
  <c r="DI28" i="57"/>
  <c r="DH28" i="57"/>
  <c r="DG28" i="57"/>
  <c r="DF28" i="57"/>
  <c r="DE28" i="57"/>
  <c r="DD28" i="57"/>
  <c r="DC28"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F28" i="57"/>
  <c r="EH28" i="57" s="1"/>
  <c r="E28" i="57"/>
  <c r="D28" i="57"/>
  <c r="C28" i="57"/>
  <c r="EE27" i="57"/>
  <c r="EI27" i="57" s="1"/>
  <c r="CP27" i="57"/>
  <c r="CO27" i="57"/>
  <c r="EG27" i="57" s="1"/>
  <c r="CN27" i="57"/>
  <c r="EF27" i="57" s="1"/>
  <c r="B27" i="57"/>
  <c r="EH26" i="57"/>
  <c r="EG26" i="57"/>
  <c r="EF26" i="57"/>
  <c r="EE26" i="57"/>
  <c r="B26" i="57"/>
  <c r="EH25" i="57"/>
  <c r="EG25" i="57"/>
  <c r="EF25" i="57"/>
  <c r="G25" i="57"/>
  <c r="ED24" i="57"/>
  <c r="EC24" i="57"/>
  <c r="EB24" i="57"/>
  <c r="EA24" i="57"/>
  <c r="DZ24" i="57"/>
  <c r="DY24" i="57"/>
  <c r="DX24" i="57"/>
  <c r="DW24" i="57"/>
  <c r="DV24" i="57"/>
  <c r="DU24" i="57"/>
  <c r="DT24" i="57"/>
  <c r="DS24" i="57"/>
  <c r="DR24" i="57"/>
  <c r="DQ24" i="57"/>
  <c r="DP24" i="57"/>
  <c r="DO24" i="57"/>
  <c r="DN24" i="57"/>
  <c r="DM24" i="57"/>
  <c r="DL24" i="57"/>
  <c r="DK24" i="57"/>
  <c r="DJ24" i="57"/>
  <c r="DI24" i="57"/>
  <c r="DH24" i="57"/>
  <c r="DG24" i="57"/>
  <c r="DF24" i="57"/>
  <c r="DE24" i="57"/>
  <c r="DD24" i="57"/>
  <c r="DC24" i="57"/>
  <c r="DB24" i="57"/>
  <c r="DA24" i="57"/>
  <c r="CZ24" i="57"/>
  <c r="CY24" i="57"/>
  <c r="CX24" i="57"/>
  <c r="CW24" i="57"/>
  <c r="CV24" i="57"/>
  <c r="CU24" i="57"/>
  <c r="CT24" i="57"/>
  <c r="CS24" i="57"/>
  <c r="CR24" i="57"/>
  <c r="CQ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F24" i="57"/>
  <c r="E24" i="57"/>
  <c r="D24" i="57"/>
  <c r="C24" i="57"/>
  <c r="EH23" i="57"/>
  <c r="EG23" i="57"/>
  <c r="EF23" i="57"/>
  <c r="EE23" i="57"/>
  <c r="EI23" i="57" s="1"/>
  <c r="B23" i="57"/>
  <c r="B22" i="57" s="1"/>
  <c r="EF22" i="57"/>
  <c r="ED22" i="57"/>
  <c r="EC22" i="57"/>
  <c r="EB22" i="57"/>
  <c r="EA22" i="57"/>
  <c r="DZ22" i="57"/>
  <c r="DY22" i="57"/>
  <c r="DX22" i="57"/>
  <c r="DW22" i="57"/>
  <c r="DV22" i="57"/>
  <c r="DU22" i="57"/>
  <c r="DT22" i="57"/>
  <c r="DS22" i="57"/>
  <c r="DR22" i="57"/>
  <c r="DQ22" i="57"/>
  <c r="DQ15" i="57" s="1"/>
  <c r="DP22" i="57"/>
  <c r="DO22" i="57"/>
  <c r="DN22" i="57"/>
  <c r="DM22" i="57"/>
  <c r="DL22" i="57"/>
  <c r="DK22" i="57"/>
  <c r="DJ22" i="57"/>
  <c r="DI22" i="57"/>
  <c r="DH22" i="57"/>
  <c r="DG22" i="57"/>
  <c r="DF22" i="57"/>
  <c r="DF15" i="57" s="1"/>
  <c r="DE22" i="57"/>
  <c r="DD22" i="57"/>
  <c r="DC22"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I15" i="57" s="1"/>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Y15" i="57" s="1"/>
  <c r="X22" i="57"/>
  <c r="W22" i="57"/>
  <c r="V22" i="57"/>
  <c r="U22" i="57"/>
  <c r="T22" i="57"/>
  <c r="S22" i="57"/>
  <c r="R22" i="57"/>
  <c r="Q22" i="57"/>
  <c r="P22" i="57"/>
  <c r="O22" i="57"/>
  <c r="N22" i="57"/>
  <c r="M22" i="57"/>
  <c r="L22" i="57"/>
  <c r="K22" i="57"/>
  <c r="J22" i="57"/>
  <c r="I22" i="57"/>
  <c r="H22" i="57"/>
  <c r="G22" i="57"/>
  <c r="F22" i="57"/>
  <c r="E22" i="57"/>
  <c r="D22" i="57"/>
  <c r="C22" i="57"/>
  <c r="EE22" i="57" s="1"/>
  <c r="EI22" i="57" s="1"/>
  <c r="EH21" i="57"/>
  <c r="EG21" i="57"/>
  <c r="EF21" i="57"/>
  <c r="EE21" i="57"/>
  <c r="EH20" i="57"/>
  <c r="EG20" i="57"/>
  <c r="EF20" i="57"/>
  <c r="EE20" i="57"/>
  <c r="B20" i="57"/>
  <c r="ED19" i="57"/>
  <c r="EC19" i="57"/>
  <c r="EB19" i="57"/>
  <c r="EA19" i="57"/>
  <c r="DZ19" i="57"/>
  <c r="DY19" i="57"/>
  <c r="DX19" i="57"/>
  <c r="DW19" i="57"/>
  <c r="DV19" i="57"/>
  <c r="DU19" i="57"/>
  <c r="DT19" i="57"/>
  <c r="DS19" i="57"/>
  <c r="DR19" i="57"/>
  <c r="DQ19" i="57"/>
  <c r="DP19" i="57"/>
  <c r="DO19" i="57"/>
  <c r="DN19" i="57"/>
  <c r="DM19" i="57"/>
  <c r="DL19" i="57"/>
  <c r="DK19" i="57"/>
  <c r="DJ19" i="57"/>
  <c r="DI19" i="57"/>
  <c r="DH19" i="57"/>
  <c r="DG19" i="57"/>
  <c r="DF19" i="57"/>
  <c r="DE19" i="57"/>
  <c r="DD19" i="57"/>
  <c r="DD15" i="57" s="1"/>
  <c r="DC19"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E15" i="57" s="1"/>
  <c r="CD19" i="57"/>
  <c r="CC19" i="57"/>
  <c r="CB19" i="57"/>
  <c r="CA19" i="57"/>
  <c r="BZ19" i="57"/>
  <c r="BY19" i="57"/>
  <c r="BX19" i="57"/>
  <c r="BW19" i="57"/>
  <c r="BV19" i="57"/>
  <c r="BU19" i="57"/>
  <c r="BT19" i="57"/>
  <c r="BS19" i="57"/>
  <c r="BR19" i="57"/>
  <c r="BQ19" i="57"/>
  <c r="BP19" i="57"/>
  <c r="BO19" i="57"/>
  <c r="BO15" i="57" s="1"/>
  <c r="BN19" i="57"/>
  <c r="BM19" i="57"/>
  <c r="BL19" i="57"/>
  <c r="BK19" i="57"/>
  <c r="BJ19" i="57"/>
  <c r="BI19" i="57"/>
  <c r="BH19" i="57"/>
  <c r="BG19" i="57"/>
  <c r="BG15" i="57" s="1"/>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I15" i="57" s="1"/>
  <c r="AH19" i="57"/>
  <c r="AG19" i="57"/>
  <c r="AF19" i="57"/>
  <c r="AE19" i="57"/>
  <c r="AD19" i="57"/>
  <c r="AC19" i="57"/>
  <c r="AB19" i="57"/>
  <c r="AA19" i="57"/>
  <c r="Z19" i="57"/>
  <c r="Y19" i="57"/>
  <c r="X19" i="57"/>
  <c r="W19" i="57"/>
  <c r="V19" i="57"/>
  <c r="U19" i="57"/>
  <c r="T19" i="57"/>
  <c r="S19" i="57"/>
  <c r="S15" i="57" s="1"/>
  <c r="R19" i="57"/>
  <c r="Q19" i="57"/>
  <c r="P19" i="57"/>
  <c r="O19" i="57"/>
  <c r="N19" i="57"/>
  <c r="M19" i="57"/>
  <c r="L19" i="57"/>
  <c r="K19" i="57"/>
  <c r="J19" i="57"/>
  <c r="I19" i="57"/>
  <c r="H19" i="57"/>
  <c r="G19" i="57"/>
  <c r="F19" i="57"/>
  <c r="E19" i="57"/>
  <c r="D19" i="57"/>
  <c r="C19" i="57"/>
  <c r="EH18" i="57"/>
  <c r="EG18" i="57"/>
  <c r="EF18" i="57"/>
  <c r="EE18" i="57"/>
  <c r="B18" i="57"/>
  <c r="EH17" i="57"/>
  <c r="EG17" i="57"/>
  <c r="EF17" i="57"/>
  <c r="EE17" i="57"/>
  <c r="B17" i="57"/>
  <c r="ED16" i="57"/>
  <c r="EC16" i="57"/>
  <c r="EB16" i="57"/>
  <c r="EA16" i="57"/>
  <c r="DZ16" i="57"/>
  <c r="DY16" i="57"/>
  <c r="DY15" i="57" s="1"/>
  <c r="DX16" i="57"/>
  <c r="DW16" i="57"/>
  <c r="DV16" i="57"/>
  <c r="DV15" i="57" s="1"/>
  <c r="DU16" i="57"/>
  <c r="DT16" i="57"/>
  <c r="DS16" i="57"/>
  <c r="DR16" i="57"/>
  <c r="DQ16" i="57"/>
  <c r="DP16" i="57"/>
  <c r="DO16" i="57"/>
  <c r="DN16" i="57"/>
  <c r="DM16" i="57"/>
  <c r="DL16" i="57"/>
  <c r="DK16" i="57"/>
  <c r="DJ16" i="57"/>
  <c r="DJ15" i="57" s="1"/>
  <c r="DI16" i="57"/>
  <c r="DI15" i="57" s="1"/>
  <c r="DH16" i="57"/>
  <c r="DG16" i="57"/>
  <c r="DF16" i="57"/>
  <c r="DE16" i="57"/>
  <c r="DD16" i="57"/>
  <c r="DC16" i="57"/>
  <c r="DB16" i="57"/>
  <c r="DB15" i="57" s="1"/>
  <c r="DA16" i="57"/>
  <c r="DA15" i="57" s="1"/>
  <c r="CZ16" i="57"/>
  <c r="CY16" i="57"/>
  <c r="CX16" i="57"/>
  <c r="CW16" i="57"/>
  <c r="CV16" i="57"/>
  <c r="CU16" i="57"/>
  <c r="CT16" i="57"/>
  <c r="CS16" i="57"/>
  <c r="CR16" i="57"/>
  <c r="CQ16" i="57"/>
  <c r="CP16" i="57"/>
  <c r="CO16" i="57"/>
  <c r="CN16" i="57"/>
  <c r="CM16" i="57"/>
  <c r="CL16" i="57"/>
  <c r="CL15" i="57" s="1"/>
  <c r="CK16" i="57"/>
  <c r="CK15" i="57" s="1"/>
  <c r="CJ16" i="57"/>
  <c r="CI16" i="57"/>
  <c r="CH16" i="57"/>
  <c r="CG16" i="57"/>
  <c r="CF16" i="57"/>
  <c r="CE16" i="57"/>
  <c r="CD16" i="57"/>
  <c r="CD15" i="57" s="1"/>
  <c r="CC16" i="57"/>
  <c r="CC15" i="57" s="1"/>
  <c r="CB16" i="57"/>
  <c r="CA16" i="57"/>
  <c r="BZ16" i="57"/>
  <c r="BZ15" i="57" s="1"/>
  <c r="BY16" i="57"/>
  <c r="BX16" i="57"/>
  <c r="BW16" i="57"/>
  <c r="BV16" i="57"/>
  <c r="BU16" i="57"/>
  <c r="BT16" i="57"/>
  <c r="BS16" i="57"/>
  <c r="BR16" i="57"/>
  <c r="BQ16" i="57"/>
  <c r="BP16" i="57"/>
  <c r="BO16" i="57"/>
  <c r="BN16" i="57"/>
  <c r="BN15" i="57" s="1"/>
  <c r="BM16" i="57"/>
  <c r="BM15" i="57" s="1"/>
  <c r="BL16" i="57"/>
  <c r="BK16" i="57"/>
  <c r="BJ16" i="57"/>
  <c r="BI16" i="57"/>
  <c r="BH16" i="57"/>
  <c r="BG16" i="57"/>
  <c r="BF16" i="57"/>
  <c r="BF15" i="57" s="1"/>
  <c r="BE16" i="57"/>
  <c r="BE15" i="57" s="1"/>
  <c r="BD16" i="57"/>
  <c r="BC16" i="57"/>
  <c r="BB16" i="57"/>
  <c r="BB15" i="57" s="1"/>
  <c r="BA16" i="57"/>
  <c r="AZ16" i="57"/>
  <c r="AY16" i="57"/>
  <c r="AX16" i="57"/>
  <c r="AW16" i="57"/>
  <c r="AV16" i="57"/>
  <c r="AU16" i="57"/>
  <c r="AT16" i="57"/>
  <c r="AT15" i="57" s="1"/>
  <c r="AS16" i="57"/>
  <c r="AR16" i="57"/>
  <c r="AQ16" i="57"/>
  <c r="AP16" i="57"/>
  <c r="AP15" i="57" s="1"/>
  <c r="AO16" i="57"/>
  <c r="AO15" i="57" s="1"/>
  <c r="AN16" i="57"/>
  <c r="AM16" i="57"/>
  <c r="AL16" i="57"/>
  <c r="AK16" i="57"/>
  <c r="AJ16" i="57"/>
  <c r="AI16" i="57"/>
  <c r="AH16" i="57"/>
  <c r="AH15" i="57" s="1"/>
  <c r="AG16" i="57"/>
  <c r="AG15" i="57" s="1"/>
  <c r="AF16" i="57"/>
  <c r="AE16" i="57"/>
  <c r="AD16" i="57"/>
  <c r="AD15" i="57" s="1"/>
  <c r="AC16" i="57"/>
  <c r="AB16" i="57"/>
  <c r="AA16" i="57"/>
  <c r="Z16" i="57"/>
  <c r="Y16" i="57"/>
  <c r="X16" i="57"/>
  <c r="W16" i="57"/>
  <c r="V16" i="57"/>
  <c r="V15" i="57" s="1"/>
  <c r="U16" i="57"/>
  <c r="T16" i="57"/>
  <c r="T15" i="57" s="1"/>
  <c r="S16" i="57"/>
  <c r="R16" i="57"/>
  <c r="R15" i="57" s="1"/>
  <c r="Q16" i="57"/>
  <c r="P16" i="57"/>
  <c r="O16" i="57"/>
  <c r="N16" i="57"/>
  <c r="M16" i="57"/>
  <c r="L16" i="57"/>
  <c r="K16" i="57"/>
  <c r="J16" i="57"/>
  <c r="EH16" i="57" s="1"/>
  <c r="I16" i="57"/>
  <c r="H16" i="57"/>
  <c r="G16" i="57"/>
  <c r="F16" i="57"/>
  <c r="E16" i="57"/>
  <c r="D16" i="57"/>
  <c r="C16" i="57"/>
  <c r="CM15" i="57"/>
  <c r="BX15" i="57"/>
  <c r="BU15" i="57"/>
  <c r="Q15" i="57"/>
  <c r="EH13" i="57"/>
  <c r="EG13" i="57"/>
  <c r="EF13" i="57"/>
  <c r="EE13" i="57"/>
  <c r="EH12" i="57"/>
  <c r="EG12" i="57"/>
  <c r="EF12" i="57"/>
  <c r="EE12" i="57"/>
  <c r="B12" i="57"/>
  <c r="EI12" i="57" s="1"/>
  <c r="EH11" i="57"/>
  <c r="EG11" i="57"/>
  <c r="EF11" i="57"/>
  <c r="EE11" i="57"/>
  <c r="B11" i="57"/>
  <c r="EH10" i="57"/>
  <c r="ED10" i="57"/>
  <c r="EC10" i="57"/>
  <c r="EC5" i="57" s="1"/>
  <c r="EC4" i="57" s="1"/>
  <c r="EB10" i="57"/>
  <c r="EA10" i="57"/>
  <c r="DZ10" i="57"/>
  <c r="DY10" i="57"/>
  <c r="DX10" i="57"/>
  <c r="DW10" i="57"/>
  <c r="DV10" i="57"/>
  <c r="DU10" i="57"/>
  <c r="DT10" i="57"/>
  <c r="DS10" i="57"/>
  <c r="DS5" i="57" s="1"/>
  <c r="DS4" i="57" s="1"/>
  <c r="DR10" i="57"/>
  <c r="DQ10" i="57"/>
  <c r="DQ5" i="57" s="1"/>
  <c r="DQ4" i="57" s="1"/>
  <c r="DP10" i="57"/>
  <c r="DO10" i="57"/>
  <c r="DN10" i="57"/>
  <c r="DM10" i="57"/>
  <c r="DL10" i="57"/>
  <c r="DK10" i="57"/>
  <c r="DJ10" i="57"/>
  <c r="DI10" i="57"/>
  <c r="DH10" i="57"/>
  <c r="DH5" i="57" s="1"/>
  <c r="DH4" i="57" s="1"/>
  <c r="DG10" i="57"/>
  <c r="DF10" i="57"/>
  <c r="DE10" i="57"/>
  <c r="DE5" i="57" s="1"/>
  <c r="DE4" i="57" s="1"/>
  <c r="DD10" i="57"/>
  <c r="DC10" i="57"/>
  <c r="DB10" i="57"/>
  <c r="DA10" i="57"/>
  <c r="CZ10" i="57"/>
  <c r="CY10" i="57"/>
  <c r="CX10" i="57"/>
  <c r="CW10" i="57"/>
  <c r="CV10" i="57"/>
  <c r="CU10" i="57"/>
  <c r="CT10" i="57"/>
  <c r="CS10" i="57"/>
  <c r="CS5" i="57" s="1"/>
  <c r="CS4" i="57" s="1"/>
  <c r="CR10" i="57"/>
  <c r="CR5" i="57" s="1"/>
  <c r="CR4" i="57" s="1"/>
  <c r="CQ10" i="57"/>
  <c r="CP10" i="57"/>
  <c r="CO10" i="57"/>
  <c r="CN10" i="57"/>
  <c r="CM10" i="57"/>
  <c r="CL10" i="57"/>
  <c r="CK10" i="57"/>
  <c r="CJ10" i="57"/>
  <c r="CI10" i="57"/>
  <c r="CH10" i="57"/>
  <c r="CG10" i="57"/>
  <c r="CF10" i="57"/>
  <c r="CE10" i="57"/>
  <c r="CD10" i="57"/>
  <c r="CC10" i="57"/>
  <c r="CB10" i="57"/>
  <c r="CA10" i="57"/>
  <c r="BZ10" i="57"/>
  <c r="BY10" i="57"/>
  <c r="BY5" i="57" s="1"/>
  <c r="BY4" i="57" s="1"/>
  <c r="BX10" i="57"/>
  <c r="BW10" i="57"/>
  <c r="BV10" i="57"/>
  <c r="BU10" i="57"/>
  <c r="BU5" i="57" s="1"/>
  <c r="BU4" i="57" s="1"/>
  <c r="BT10" i="57"/>
  <c r="BS10" i="57"/>
  <c r="BR10" i="57"/>
  <c r="BQ10" i="57"/>
  <c r="BP10" i="57"/>
  <c r="BO10" i="57"/>
  <c r="BN10" i="57"/>
  <c r="BM10" i="57"/>
  <c r="BM5" i="57" s="1"/>
  <c r="BM4" i="57" s="1"/>
  <c r="BL10" i="57"/>
  <c r="BK10" i="57"/>
  <c r="BJ10" i="57"/>
  <c r="BI10" i="57"/>
  <c r="BI5" i="57" s="1"/>
  <c r="BI4" i="57" s="1"/>
  <c r="BH10" i="57"/>
  <c r="BG10" i="57"/>
  <c r="BF10" i="57"/>
  <c r="BE10" i="57"/>
  <c r="BD10" i="57"/>
  <c r="BC10" i="57"/>
  <c r="BB10" i="57"/>
  <c r="BA10" i="57"/>
  <c r="BA5" i="57" s="1"/>
  <c r="AZ10" i="57"/>
  <c r="AY10" i="57"/>
  <c r="AX10" i="57"/>
  <c r="AW10" i="57"/>
  <c r="AV10" i="57"/>
  <c r="AU10" i="57"/>
  <c r="AT10" i="57"/>
  <c r="AT5" i="57" s="1"/>
  <c r="AT4" i="57" s="1"/>
  <c r="AS10" i="57"/>
  <c r="AR10" i="57"/>
  <c r="AQ10" i="57"/>
  <c r="AP10" i="57"/>
  <c r="AO10" i="57"/>
  <c r="AO5" i="57" s="1"/>
  <c r="AO4" i="57" s="1"/>
  <c r="AN10" i="57"/>
  <c r="AM10" i="57"/>
  <c r="AL10" i="57"/>
  <c r="AK10" i="57"/>
  <c r="AJ10" i="57"/>
  <c r="AI10" i="57"/>
  <c r="AH10" i="57"/>
  <c r="AG10" i="57"/>
  <c r="AF10" i="57"/>
  <c r="AE10" i="57"/>
  <c r="AD10" i="57"/>
  <c r="AC10" i="57"/>
  <c r="AC5" i="57" s="1"/>
  <c r="AC4" i="57" s="1"/>
  <c r="AB10" i="57"/>
  <c r="AA10" i="57"/>
  <c r="Z10" i="57"/>
  <c r="Y10" i="57"/>
  <c r="X10" i="57"/>
  <c r="W10" i="57"/>
  <c r="V10" i="57"/>
  <c r="U10" i="57"/>
  <c r="T10" i="57"/>
  <c r="S10" i="57"/>
  <c r="R10" i="57"/>
  <c r="Q10" i="57"/>
  <c r="Q5" i="57" s="1"/>
  <c r="Q4" i="57" s="1"/>
  <c r="P10" i="57"/>
  <c r="O10" i="57"/>
  <c r="N10" i="57"/>
  <c r="M10" i="57"/>
  <c r="M5" i="57" s="1"/>
  <c r="M4" i="57" s="1"/>
  <c r="L10" i="57"/>
  <c r="K10" i="57"/>
  <c r="J10" i="57"/>
  <c r="I10" i="57"/>
  <c r="H10" i="57"/>
  <c r="G10" i="57"/>
  <c r="F10" i="57"/>
  <c r="E10" i="57"/>
  <c r="E5" i="57" s="1"/>
  <c r="D10" i="57"/>
  <c r="EF10" i="57" s="1"/>
  <c r="C10" i="57"/>
  <c r="CX9" i="57"/>
  <c r="EH9" i="57" s="1"/>
  <c r="CW9" i="57"/>
  <c r="EG9" i="57" s="1"/>
  <c r="CV9" i="57"/>
  <c r="EF9" i="57" s="1"/>
  <c r="CU9" i="57"/>
  <c r="B9" i="57"/>
  <c r="EH8" i="57"/>
  <c r="EG8" i="57"/>
  <c r="EF8" i="57"/>
  <c r="CM8" i="57"/>
  <c r="EE8" i="57" s="1"/>
  <c r="EH7" i="57"/>
  <c r="EG7" i="57"/>
  <c r="EF7" i="57"/>
  <c r="CM7" i="57"/>
  <c r="EE7" i="57" s="1"/>
  <c r="EI7" i="57" s="1"/>
  <c r="B7" i="57"/>
  <c r="ED6" i="57"/>
  <c r="ED5" i="57" s="1"/>
  <c r="ED4" i="57" s="1"/>
  <c r="EC6" i="57"/>
  <c r="EB6" i="57"/>
  <c r="EA6" i="57"/>
  <c r="EA5" i="57" s="1"/>
  <c r="EA4" i="57" s="1"/>
  <c r="DZ6" i="57"/>
  <c r="DY6" i="57"/>
  <c r="DY5" i="57" s="1"/>
  <c r="DY4" i="57" s="1"/>
  <c r="DX6" i="57"/>
  <c r="DX5" i="57" s="1"/>
  <c r="DX4" i="57" s="1"/>
  <c r="DW6" i="57"/>
  <c r="DW5" i="57" s="1"/>
  <c r="DV6" i="57"/>
  <c r="DV5" i="57" s="1"/>
  <c r="DV4" i="57" s="1"/>
  <c r="DU6" i="57"/>
  <c r="DT6" i="57"/>
  <c r="DS6" i="57"/>
  <c r="DR6" i="57"/>
  <c r="DQ6" i="57"/>
  <c r="DP6" i="57"/>
  <c r="DO6" i="57"/>
  <c r="DO5" i="57" s="1"/>
  <c r="DO4" i="57" s="1"/>
  <c r="DN6" i="57"/>
  <c r="DN5" i="57" s="1"/>
  <c r="DN4" i="57" s="1"/>
  <c r="DM6" i="57"/>
  <c r="DM5" i="57" s="1"/>
  <c r="DM4" i="57" s="1"/>
  <c r="DL6" i="57"/>
  <c r="DL5" i="57" s="1"/>
  <c r="DL4" i="57" s="1"/>
  <c r="DK6" i="57"/>
  <c r="DJ6" i="57"/>
  <c r="DI6" i="57"/>
  <c r="DH6" i="57"/>
  <c r="DG6" i="57"/>
  <c r="DF6" i="57"/>
  <c r="DE6" i="57"/>
  <c r="DD6" i="57"/>
  <c r="DC6" i="57"/>
  <c r="DC5" i="57" s="1"/>
  <c r="DB6" i="57"/>
  <c r="DA6" i="57"/>
  <c r="DA5" i="57" s="1"/>
  <c r="DA4" i="57" s="1"/>
  <c r="CZ6" i="57"/>
  <c r="CZ5" i="57" s="1"/>
  <c r="CZ4" i="57" s="1"/>
  <c r="CY6" i="57"/>
  <c r="CY5" i="57" s="1"/>
  <c r="CY4" i="57" s="1"/>
  <c r="CX6" i="57"/>
  <c r="CX5" i="57" s="1"/>
  <c r="CX4" i="57" s="1"/>
  <c r="CV6" i="57"/>
  <c r="CT6" i="57"/>
  <c r="CS6" i="57"/>
  <c r="CR6" i="57"/>
  <c r="CQ6" i="57"/>
  <c r="CP6" i="57"/>
  <c r="CP5" i="57" s="1"/>
  <c r="CP4" i="57" s="1"/>
  <c r="CO6" i="57"/>
  <c r="CN6" i="57"/>
  <c r="CN5" i="57" s="1"/>
  <c r="CN4" i="57" s="1"/>
  <c r="CL6" i="57"/>
  <c r="CK6" i="57"/>
  <c r="CJ6" i="57"/>
  <c r="CJ5" i="57" s="1"/>
  <c r="CJ4" i="57" s="1"/>
  <c r="CI6" i="57"/>
  <c r="CH6" i="57"/>
  <c r="CH5" i="57" s="1"/>
  <c r="CH4" i="57" s="1"/>
  <c r="CG6" i="57"/>
  <c r="CF6" i="57"/>
  <c r="CE6" i="57"/>
  <c r="CD6" i="57"/>
  <c r="CC6" i="57"/>
  <c r="CB6" i="57"/>
  <c r="CA6" i="57"/>
  <c r="CA5" i="57" s="1"/>
  <c r="CA4" i="57" s="1"/>
  <c r="BZ6" i="57"/>
  <c r="BY6" i="57"/>
  <c r="BX6" i="57"/>
  <c r="BW6" i="57"/>
  <c r="BV6" i="57"/>
  <c r="BU6" i="57"/>
  <c r="BT6" i="57"/>
  <c r="BS6" i="57"/>
  <c r="BR6" i="57"/>
  <c r="BQ6" i="57"/>
  <c r="BQ5" i="57" s="1"/>
  <c r="BQ4" i="57" s="1"/>
  <c r="BP6" i="57"/>
  <c r="BP5" i="57" s="1"/>
  <c r="BP4" i="57" s="1"/>
  <c r="BO6" i="57"/>
  <c r="BO5" i="57" s="1"/>
  <c r="BN6" i="57"/>
  <c r="BM6" i="57"/>
  <c r="BL6" i="57"/>
  <c r="BK6" i="57"/>
  <c r="BJ6" i="57"/>
  <c r="BJ5" i="57" s="1"/>
  <c r="BJ4" i="57" s="1"/>
  <c r="BI6" i="57"/>
  <c r="BH6" i="57"/>
  <c r="BG6" i="57"/>
  <c r="BG5" i="57" s="1"/>
  <c r="BG4" i="57" s="1"/>
  <c r="BF6" i="57"/>
  <c r="BE6" i="57"/>
  <c r="BD6" i="57"/>
  <c r="BC6" i="57"/>
  <c r="BC5" i="57" s="1"/>
  <c r="BB6" i="57"/>
  <c r="BB5" i="57" s="1"/>
  <c r="BB4" i="57" s="1"/>
  <c r="BA6" i="57"/>
  <c r="AZ6" i="57"/>
  <c r="AY6" i="57"/>
  <c r="AX6" i="57"/>
  <c r="AW6" i="57"/>
  <c r="AV6" i="57"/>
  <c r="AU6" i="57"/>
  <c r="AT6" i="57"/>
  <c r="AS6" i="57"/>
  <c r="AR6" i="57"/>
  <c r="AR5" i="57" s="1"/>
  <c r="AR4" i="57" s="1"/>
  <c r="AQ6" i="57"/>
  <c r="AQ5" i="57" s="1"/>
  <c r="AQ4" i="57" s="1"/>
  <c r="AP6" i="57"/>
  <c r="AO6" i="57"/>
  <c r="AN6" i="57"/>
  <c r="AM6" i="57"/>
  <c r="AL6" i="57"/>
  <c r="AL5" i="57" s="1"/>
  <c r="AL4" i="57" s="1"/>
  <c r="AK6" i="57"/>
  <c r="AJ6" i="57"/>
  <c r="AI6" i="57"/>
  <c r="AH6" i="57"/>
  <c r="AG6" i="57"/>
  <c r="AG5" i="57" s="1"/>
  <c r="AG4" i="57" s="1"/>
  <c r="AF6" i="57"/>
  <c r="AE6" i="57"/>
  <c r="AE5" i="57" s="1"/>
  <c r="AE4" i="57" s="1"/>
  <c r="AD6" i="57"/>
  <c r="AD5" i="57" s="1"/>
  <c r="AD4" i="57" s="1"/>
  <c r="AC6" i="57"/>
  <c r="AB6" i="57"/>
  <c r="AA6" i="57"/>
  <c r="Z6" i="57"/>
  <c r="Y6" i="57"/>
  <c r="X6" i="57"/>
  <c r="W6" i="57"/>
  <c r="W5" i="57" s="1"/>
  <c r="V6" i="57"/>
  <c r="U6" i="57"/>
  <c r="U5" i="57" s="1"/>
  <c r="T6" i="57"/>
  <c r="T5" i="57" s="1"/>
  <c r="T4" i="57" s="1"/>
  <c r="S6" i="57"/>
  <c r="S5" i="57" s="1"/>
  <c r="S4" i="57" s="1"/>
  <c r="R6" i="57"/>
  <c r="Q6" i="57"/>
  <c r="P6" i="57"/>
  <c r="P5" i="57" s="1"/>
  <c r="P4" i="57" s="1"/>
  <c r="O6" i="57"/>
  <c r="N6" i="57"/>
  <c r="N5" i="57" s="1"/>
  <c r="N4" i="57" s="1"/>
  <c r="M6" i="57"/>
  <c r="L6" i="57"/>
  <c r="K6" i="57"/>
  <c r="K5" i="57" s="1"/>
  <c r="J6" i="57"/>
  <c r="I6" i="57"/>
  <c r="H6" i="57"/>
  <c r="H5" i="57" s="1"/>
  <c r="G6" i="57"/>
  <c r="G5" i="57" s="1"/>
  <c r="G4" i="57" s="1"/>
  <c r="F6" i="57"/>
  <c r="F5" i="57" s="1"/>
  <c r="E6" i="57"/>
  <c r="D6" i="57"/>
  <c r="C6" i="57"/>
  <c r="DP5" i="57"/>
  <c r="DP4" i="57" s="1"/>
  <c r="DK5" i="57"/>
  <c r="DF5" i="57"/>
  <c r="DF4" i="57" s="1"/>
  <c r="CO5" i="57"/>
  <c r="CO4" i="57" s="1"/>
  <c r="CE5" i="57"/>
  <c r="CE4" i="57" s="1"/>
  <c r="CC5" i="57"/>
  <c r="CC4" i="57" s="1"/>
  <c r="CB5" i="57"/>
  <c r="CB4" i="57" s="1"/>
  <c r="BZ5" i="57"/>
  <c r="BZ4" i="57" s="1"/>
  <c r="BT5" i="57"/>
  <c r="BT4" i="57" s="1"/>
  <c r="BE5" i="57"/>
  <c r="BE4" i="57" s="1"/>
  <c r="BD5" i="57"/>
  <c r="AV5" i="57"/>
  <c r="AV4" i="57" s="1"/>
  <c r="AS5" i="57"/>
  <c r="AS4" i="57" s="1"/>
  <c r="AI5" i="57"/>
  <c r="AI4" i="57" s="1"/>
  <c r="AF5" i="57"/>
  <c r="AF4" i="57" s="1"/>
  <c r="X5" i="57"/>
  <c r="C5" i="57"/>
  <c r="DW4" i="57"/>
  <c r="DK4" i="57"/>
  <c r="DC4" i="57"/>
  <c r="BO4" i="57"/>
  <c r="BD4" i="57"/>
  <c r="BC4" i="57"/>
  <c r="BA4" i="57"/>
  <c r="X4" i="57"/>
  <c r="W4" i="57"/>
  <c r="U4" i="57"/>
  <c r="K4" i="57"/>
  <c r="H4" i="57"/>
  <c r="AB198" i="56"/>
  <c r="AA198" i="56"/>
  <c r="Z198" i="56"/>
  <c r="Y198" i="56"/>
  <c r="X197" i="56"/>
  <c r="X196" i="56" s="1"/>
  <c r="X195" i="56" s="1"/>
  <c r="W197" i="56"/>
  <c r="W196" i="56" s="1"/>
  <c r="W195" i="56" s="1"/>
  <c r="V197" i="56"/>
  <c r="V196" i="56" s="1"/>
  <c r="U197" i="56"/>
  <c r="U196" i="56" s="1"/>
  <c r="U195" i="56" s="1"/>
  <c r="T197" i="56"/>
  <c r="T196" i="56" s="1"/>
  <c r="S197" i="56"/>
  <c r="S196" i="56" s="1"/>
  <c r="R197" i="56"/>
  <c r="R196" i="56" s="1"/>
  <c r="R195" i="56" s="1"/>
  <c r="Q197" i="56"/>
  <c r="P197" i="56"/>
  <c r="P196" i="56" s="1"/>
  <c r="P195" i="56" s="1"/>
  <c r="O197" i="56"/>
  <c r="O196" i="56" s="1"/>
  <c r="O195" i="56" s="1"/>
  <c r="O182" i="56" s="1"/>
  <c r="N197" i="56"/>
  <c r="N196" i="56" s="1"/>
  <c r="N195" i="56" s="1"/>
  <c r="M197" i="56"/>
  <c r="M196" i="56" s="1"/>
  <c r="M195" i="56" s="1"/>
  <c r="L197" i="56"/>
  <c r="K197" i="56"/>
  <c r="K196" i="56" s="1"/>
  <c r="K195" i="56" s="1"/>
  <c r="J197" i="56"/>
  <c r="J196" i="56" s="1"/>
  <c r="J195" i="56" s="1"/>
  <c r="I197" i="56"/>
  <c r="Q196" i="56"/>
  <c r="Q195" i="56" s="1"/>
  <c r="L196" i="56"/>
  <c r="L195" i="56" s="1"/>
  <c r="I196" i="56"/>
  <c r="V195" i="56"/>
  <c r="S195" i="56"/>
  <c r="AB194" i="56"/>
  <c r="AA194" i="56"/>
  <c r="Z194" i="56"/>
  <c r="Y194" i="56"/>
  <c r="AA193" i="56"/>
  <c r="X193" i="56"/>
  <c r="X192" i="56" s="1"/>
  <c r="X191" i="56" s="1"/>
  <c r="W193" i="56"/>
  <c r="W192" i="56" s="1"/>
  <c r="W191" i="56" s="1"/>
  <c r="V193" i="56"/>
  <c r="V192" i="56" s="1"/>
  <c r="V191" i="56" s="1"/>
  <c r="U193" i="56"/>
  <c r="U192" i="56" s="1"/>
  <c r="U191" i="56" s="1"/>
  <c r="T193" i="56"/>
  <c r="T192" i="56" s="1"/>
  <c r="T191" i="56" s="1"/>
  <c r="S193" i="56"/>
  <c r="S192" i="56" s="1"/>
  <c r="S191" i="56" s="1"/>
  <c r="R193" i="56"/>
  <c r="R192" i="56" s="1"/>
  <c r="Q193" i="56"/>
  <c r="Q192" i="56" s="1"/>
  <c r="Q191" i="56" s="1"/>
  <c r="P193" i="56"/>
  <c r="P192" i="56" s="1"/>
  <c r="O193" i="56"/>
  <c r="O192" i="56" s="1"/>
  <c r="O191" i="56" s="1"/>
  <c r="N193" i="56"/>
  <c r="N192" i="56" s="1"/>
  <c r="N191" i="56" s="1"/>
  <c r="M193" i="56"/>
  <c r="M192" i="56" s="1"/>
  <c r="M191" i="56" s="1"/>
  <c r="L193" i="56"/>
  <c r="K193" i="56"/>
  <c r="K192" i="56" s="1"/>
  <c r="J193" i="56"/>
  <c r="I193" i="56"/>
  <c r="I192" i="56" s="1"/>
  <c r="R191" i="56"/>
  <c r="P191" i="56"/>
  <c r="AB190" i="56"/>
  <c r="AA190" i="56"/>
  <c r="Z190" i="56"/>
  <c r="Y190" i="56"/>
  <c r="X189" i="56"/>
  <c r="X188" i="56" s="1"/>
  <c r="X187" i="56" s="1"/>
  <c r="W189" i="56"/>
  <c r="V189" i="56"/>
  <c r="U189" i="56"/>
  <c r="T189" i="56"/>
  <c r="T188" i="56" s="1"/>
  <c r="S189" i="56"/>
  <c r="S188" i="56" s="1"/>
  <c r="S187" i="56" s="1"/>
  <c r="R189" i="56"/>
  <c r="R188" i="56" s="1"/>
  <c r="R187" i="56" s="1"/>
  <c r="Q189" i="56"/>
  <c r="Q188" i="56" s="1"/>
  <c r="Q187" i="56" s="1"/>
  <c r="P189" i="56"/>
  <c r="P188" i="56" s="1"/>
  <c r="O189" i="56"/>
  <c r="N189" i="56"/>
  <c r="M189" i="56"/>
  <c r="L189" i="56"/>
  <c r="K189" i="56"/>
  <c r="J189" i="56"/>
  <c r="J188" i="56" s="1"/>
  <c r="I189" i="56"/>
  <c r="W188" i="56"/>
  <c r="W187" i="56" s="1"/>
  <c r="V188" i="56"/>
  <c r="V187" i="56" s="1"/>
  <c r="U188" i="56"/>
  <c r="U187" i="56" s="1"/>
  <c r="O188" i="56"/>
  <c r="O187" i="56" s="1"/>
  <c r="N188" i="56"/>
  <c r="M188" i="56"/>
  <c r="M187" i="56" s="1"/>
  <c r="L188" i="56"/>
  <c r="L187" i="56" s="1"/>
  <c r="P187" i="56"/>
  <c r="N187" i="56"/>
  <c r="AB186" i="56"/>
  <c r="AA186" i="56"/>
  <c r="Z186" i="56"/>
  <c r="Y186" i="56"/>
  <c r="X185" i="56"/>
  <c r="X184" i="56" s="1"/>
  <c r="W185" i="56"/>
  <c r="V185" i="56"/>
  <c r="U185" i="56"/>
  <c r="U184" i="56" s="1"/>
  <c r="U183" i="56" s="1"/>
  <c r="T185" i="56"/>
  <c r="S185" i="56"/>
  <c r="S184" i="56" s="1"/>
  <c r="S183" i="56" s="1"/>
  <c r="AA183" i="56" s="1"/>
  <c r="R185" i="56"/>
  <c r="Q185" i="56"/>
  <c r="Q184" i="56" s="1"/>
  <c r="Q183" i="56" s="1"/>
  <c r="Q182" i="56" s="1"/>
  <c r="P185" i="56"/>
  <c r="P184" i="56" s="1"/>
  <c r="P183" i="56" s="1"/>
  <c r="O185" i="56"/>
  <c r="N185" i="56"/>
  <c r="M185" i="56"/>
  <c r="M184" i="56" s="1"/>
  <c r="M183" i="56" s="1"/>
  <c r="M182" i="56" s="1"/>
  <c r="L185" i="56"/>
  <c r="K185" i="56"/>
  <c r="K184" i="56" s="1"/>
  <c r="K183" i="56" s="1"/>
  <c r="J185" i="56"/>
  <c r="J184" i="56" s="1"/>
  <c r="J183" i="56" s="1"/>
  <c r="I185" i="56"/>
  <c r="W184" i="56"/>
  <c r="W183" i="56" s="1"/>
  <c r="V184" i="56"/>
  <c r="V183" i="56" s="1"/>
  <c r="V182" i="56" s="1"/>
  <c r="T184" i="56"/>
  <c r="T183" i="56" s="1"/>
  <c r="R184" i="56"/>
  <c r="R183" i="56" s="1"/>
  <c r="O184" i="56"/>
  <c r="O183" i="56" s="1"/>
  <c r="N184" i="56"/>
  <c r="L184" i="56"/>
  <c r="I184" i="56"/>
  <c r="X183" i="56"/>
  <c r="AA181" i="56"/>
  <c r="Z181" i="56"/>
  <c r="Y181" i="56"/>
  <c r="L181" i="56"/>
  <c r="K181" i="56"/>
  <c r="J181" i="56"/>
  <c r="J180" i="56" s="1"/>
  <c r="I181" i="56"/>
  <c r="I180" i="56" s="1"/>
  <c r="X180" i="56"/>
  <c r="X179" i="56" s="1"/>
  <c r="X178" i="56" s="1"/>
  <c r="W180" i="56"/>
  <c r="W179" i="56" s="1"/>
  <c r="W178" i="56" s="1"/>
  <c r="V180" i="56"/>
  <c r="V179" i="56" s="1"/>
  <c r="V178" i="56" s="1"/>
  <c r="U180" i="56"/>
  <c r="U179" i="56" s="1"/>
  <c r="U178" i="56" s="1"/>
  <c r="T180" i="56"/>
  <c r="T179" i="56" s="1"/>
  <c r="T178" i="56" s="1"/>
  <c r="S180" i="56"/>
  <c r="S179" i="56" s="1"/>
  <c r="R180" i="56"/>
  <c r="R179" i="56" s="1"/>
  <c r="R178" i="56" s="1"/>
  <c r="Q180" i="56"/>
  <c r="Q179" i="56" s="1"/>
  <c r="Q178" i="56" s="1"/>
  <c r="P180" i="56"/>
  <c r="P179" i="56" s="1"/>
  <c r="P178" i="56" s="1"/>
  <c r="O180" i="56"/>
  <c r="N180" i="56"/>
  <c r="N179" i="56" s="1"/>
  <c r="N178" i="56" s="1"/>
  <c r="M180" i="56"/>
  <c r="M179" i="56" s="1"/>
  <c r="M178" i="56" s="1"/>
  <c r="K180" i="56"/>
  <c r="O179" i="56"/>
  <c r="O178" i="56" s="1"/>
  <c r="J179" i="56"/>
  <c r="J178" i="56" s="1"/>
  <c r="S178" i="56"/>
  <c r="AB177" i="56"/>
  <c r="AA177" i="56"/>
  <c r="Z177" i="56"/>
  <c r="Y177" i="56"/>
  <c r="X176" i="56"/>
  <c r="X175" i="56" s="1"/>
  <c r="X174" i="56" s="1"/>
  <c r="X173" i="56" s="1"/>
  <c r="W176" i="56"/>
  <c r="W175" i="56" s="1"/>
  <c r="W174" i="56" s="1"/>
  <c r="V176" i="56"/>
  <c r="V175" i="56" s="1"/>
  <c r="V174" i="56" s="1"/>
  <c r="U176" i="56"/>
  <c r="U175" i="56" s="1"/>
  <c r="U174" i="56" s="1"/>
  <c r="U173" i="56" s="1"/>
  <c r="T176" i="56"/>
  <c r="T175" i="56" s="1"/>
  <c r="T174" i="56" s="1"/>
  <c r="T173" i="56" s="1"/>
  <c r="S176" i="56"/>
  <c r="S175" i="56" s="1"/>
  <c r="S174" i="56" s="1"/>
  <c r="R176" i="56"/>
  <c r="Q176" i="56"/>
  <c r="P176" i="56"/>
  <c r="P175" i="56" s="1"/>
  <c r="P174" i="56" s="1"/>
  <c r="O176" i="56"/>
  <c r="N176" i="56"/>
  <c r="N175" i="56" s="1"/>
  <c r="M176" i="56"/>
  <c r="M175" i="56" s="1"/>
  <c r="M174" i="56" s="1"/>
  <c r="L176" i="56"/>
  <c r="L175" i="56" s="1"/>
  <c r="AB175" i="56" s="1"/>
  <c r="K176" i="56"/>
  <c r="K175" i="56" s="1"/>
  <c r="J176" i="56"/>
  <c r="I176" i="56"/>
  <c r="R175" i="56"/>
  <c r="R174" i="56" s="1"/>
  <c r="Q175" i="56"/>
  <c r="Q174" i="56" s="1"/>
  <c r="N174" i="56"/>
  <c r="K174" i="56"/>
  <c r="W173" i="56"/>
  <c r="AB172" i="56"/>
  <c r="AA172" i="56"/>
  <c r="Z172" i="56"/>
  <c r="Y172" i="56"/>
  <c r="AB171" i="56"/>
  <c r="AA171" i="56"/>
  <c r="Z171" i="56"/>
  <c r="Y171" i="56"/>
  <c r="X170" i="56"/>
  <c r="X169" i="56" s="1"/>
  <c r="X168" i="56" s="1"/>
  <c r="X167" i="56" s="1"/>
  <c r="W170" i="56"/>
  <c r="W169" i="56" s="1"/>
  <c r="W168" i="56" s="1"/>
  <c r="W167" i="56" s="1"/>
  <c r="V170" i="56"/>
  <c r="V169" i="56" s="1"/>
  <c r="V168" i="56" s="1"/>
  <c r="V167" i="56" s="1"/>
  <c r="U170" i="56"/>
  <c r="T170" i="56"/>
  <c r="T169" i="56" s="1"/>
  <c r="T168" i="56" s="1"/>
  <c r="T167" i="56" s="1"/>
  <c r="S170" i="56"/>
  <c r="R170" i="56"/>
  <c r="Q170" i="56"/>
  <c r="P170" i="56"/>
  <c r="P169" i="56" s="1"/>
  <c r="P168" i="56" s="1"/>
  <c r="P167" i="56" s="1"/>
  <c r="O170" i="56"/>
  <c r="O169" i="56" s="1"/>
  <c r="O168" i="56" s="1"/>
  <c r="O167" i="56" s="1"/>
  <c r="N170" i="56"/>
  <c r="N169" i="56" s="1"/>
  <c r="M170" i="56"/>
  <c r="M169" i="56" s="1"/>
  <c r="M168" i="56" s="1"/>
  <c r="M167" i="56" s="1"/>
  <c r="L170" i="56"/>
  <c r="K170" i="56"/>
  <c r="K169" i="56" s="1"/>
  <c r="K168" i="56" s="1"/>
  <c r="J170" i="56"/>
  <c r="I170" i="56"/>
  <c r="U169" i="56"/>
  <c r="U168" i="56" s="1"/>
  <c r="S169" i="56"/>
  <c r="S168" i="56" s="1"/>
  <c r="S167" i="56" s="1"/>
  <c r="R169" i="56"/>
  <c r="R168" i="56" s="1"/>
  <c r="R167" i="56" s="1"/>
  <c r="Q169" i="56"/>
  <c r="Q168" i="56" s="1"/>
  <c r="Q167" i="56" s="1"/>
  <c r="I169" i="56"/>
  <c r="I168" i="56" s="1"/>
  <c r="N168" i="56"/>
  <c r="N167" i="56" s="1"/>
  <c r="U167" i="56"/>
  <c r="K167" i="56"/>
  <c r="AB166" i="56"/>
  <c r="AA166" i="56"/>
  <c r="Y166" i="56"/>
  <c r="J166" i="56"/>
  <c r="Z166" i="56" s="1"/>
  <c r="AB165" i="56"/>
  <c r="AA165" i="56"/>
  <c r="Z165" i="56"/>
  <c r="Y165" i="56"/>
  <c r="X164" i="56"/>
  <c r="X163" i="56" s="1"/>
  <c r="X162" i="56" s="1"/>
  <c r="W164" i="56"/>
  <c r="W163" i="56" s="1"/>
  <c r="V164" i="56"/>
  <c r="U164" i="56"/>
  <c r="U163" i="56" s="1"/>
  <c r="U162" i="56" s="1"/>
  <c r="T164" i="56"/>
  <c r="T163" i="56" s="1"/>
  <c r="T162" i="56" s="1"/>
  <c r="S164" i="56"/>
  <c r="S163" i="56" s="1"/>
  <c r="S162" i="56" s="1"/>
  <c r="R164" i="56"/>
  <c r="Q164" i="56"/>
  <c r="Q163" i="56" s="1"/>
  <c r="Q162" i="56" s="1"/>
  <c r="P164" i="56"/>
  <c r="P163" i="56" s="1"/>
  <c r="O164" i="56"/>
  <c r="O163" i="56" s="1"/>
  <c r="O162" i="56" s="1"/>
  <c r="N164" i="56"/>
  <c r="N163" i="56" s="1"/>
  <c r="N162" i="56" s="1"/>
  <c r="M164" i="56"/>
  <c r="L164" i="56"/>
  <c r="K164" i="56"/>
  <c r="K163" i="56" s="1"/>
  <c r="K162" i="56" s="1"/>
  <c r="J164" i="56"/>
  <c r="I164" i="56"/>
  <c r="I163" i="56" s="1"/>
  <c r="V163" i="56"/>
  <c r="V162" i="56" s="1"/>
  <c r="R163" i="56"/>
  <c r="R162" i="56" s="1"/>
  <c r="M163" i="56"/>
  <c r="M162" i="56" s="1"/>
  <c r="W162" i="56"/>
  <c r="P162" i="56"/>
  <c r="AB161" i="56"/>
  <c r="AA161" i="56"/>
  <c r="Z161" i="56"/>
  <c r="Y161" i="56"/>
  <c r="X160" i="56"/>
  <c r="W160" i="56"/>
  <c r="W159" i="56" s="1"/>
  <c r="W158" i="56" s="1"/>
  <c r="V160" i="56"/>
  <c r="V159" i="56" s="1"/>
  <c r="V158" i="56" s="1"/>
  <c r="U160" i="56"/>
  <c r="T160" i="56"/>
  <c r="S160" i="56"/>
  <c r="R160" i="56"/>
  <c r="R159" i="56" s="1"/>
  <c r="R158" i="56" s="1"/>
  <c r="Q160" i="56"/>
  <c r="Q159" i="56" s="1"/>
  <c r="Q158" i="56" s="1"/>
  <c r="P160" i="56"/>
  <c r="O160" i="56"/>
  <c r="O159" i="56" s="1"/>
  <c r="N160" i="56"/>
  <c r="M160" i="56"/>
  <c r="M159" i="56" s="1"/>
  <c r="L160" i="56"/>
  <c r="K160" i="56"/>
  <c r="J160" i="56"/>
  <c r="I160" i="56"/>
  <c r="X159" i="56"/>
  <c r="X158" i="56" s="1"/>
  <c r="U159" i="56"/>
  <c r="U158" i="56" s="1"/>
  <c r="T159" i="56"/>
  <c r="T158" i="56" s="1"/>
  <c r="S159" i="56"/>
  <c r="S158" i="56" s="1"/>
  <c r="N159" i="56"/>
  <c r="L159" i="56"/>
  <c r="K159" i="56"/>
  <c r="K158" i="56" s="1"/>
  <c r="J159" i="56"/>
  <c r="I159" i="56"/>
  <c r="I158" i="56" s="1"/>
  <c r="O158" i="56"/>
  <c r="N158" i="56"/>
  <c r="M158" i="56"/>
  <c r="L158" i="56"/>
  <c r="AB157" i="56"/>
  <c r="AA157" i="56"/>
  <c r="Z157" i="56"/>
  <c r="Y157" i="56"/>
  <c r="AB156" i="56"/>
  <c r="AA156" i="56"/>
  <c r="Z156" i="56"/>
  <c r="Y156" i="56"/>
  <c r="X155" i="56"/>
  <c r="X154" i="56" s="1"/>
  <c r="X153" i="56" s="1"/>
  <c r="W155" i="56"/>
  <c r="W154" i="56" s="1"/>
  <c r="W153" i="56" s="1"/>
  <c r="V155" i="56"/>
  <c r="V154" i="56" s="1"/>
  <c r="V153" i="56" s="1"/>
  <c r="U155" i="56"/>
  <c r="U154" i="56" s="1"/>
  <c r="U153" i="56" s="1"/>
  <c r="T155" i="56"/>
  <c r="T154" i="56" s="1"/>
  <c r="T153" i="56" s="1"/>
  <c r="S155" i="56"/>
  <c r="S154" i="56" s="1"/>
  <c r="R155" i="56"/>
  <c r="R154" i="56" s="1"/>
  <c r="R153" i="56" s="1"/>
  <c r="Z153" i="56" s="1"/>
  <c r="Q155" i="56"/>
  <c r="Q154" i="56" s="1"/>
  <c r="P155" i="56"/>
  <c r="P154" i="56" s="1"/>
  <c r="P153" i="56" s="1"/>
  <c r="O155" i="56"/>
  <c r="O154" i="56" s="1"/>
  <c r="N155" i="56"/>
  <c r="M155" i="56"/>
  <c r="M154" i="56" s="1"/>
  <c r="M153" i="56" s="1"/>
  <c r="L155" i="56"/>
  <c r="K155" i="56"/>
  <c r="K154" i="56" s="1"/>
  <c r="J155" i="56"/>
  <c r="J154" i="56" s="1"/>
  <c r="J153" i="56" s="1"/>
  <c r="I155" i="56"/>
  <c r="N154" i="56"/>
  <c r="N153" i="56" s="1"/>
  <c r="L154" i="56"/>
  <c r="L153" i="56" s="1"/>
  <c r="I154" i="56"/>
  <c r="S153" i="56"/>
  <c r="Q153" i="56"/>
  <c r="O153" i="56"/>
  <c r="K153" i="56"/>
  <c r="AB152" i="56"/>
  <c r="AA152" i="56"/>
  <c r="Z152" i="56"/>
  <c r="Y152" i="56"/>
  <c r="X151" i="56"/>
  <c r="W151" i="56"/>
  <c r="W150" i="56" s="1"/>
  <c r="W149" i="56" s="1"/>
  <c r="V151" i="56"/>
  <c r="V150" i="56" s="1"/>
  <c r="V149" i="56" s="1"/>
  <c r="V148" i="56" s="1"/>
  <c r="U151" i="56"/>
  <c r="U150" i="56" s="1"/>
  <c r="U149" i="56" s="1"/>
  <c r="T151" i="56"/>
  <c r="T150" i="56" s="1"/>
  <c r="T149" i="56" s="1"/>
  <c r="S151" i="56"/>
  <c r="S150" i="56" s="1"/>
  <c r="S149" i="56" s="1"/>
  <c r="R151" i="56"/>
  <c r="R150" i="56" s="1"/>
  <c r="R149" i="56" s="1"/>
  <c r="Q151" i="56"/>
  <c r="Q150" i="56" s="1"/>
  <c r="Q149" i="56" s="1"/>
  <c r="P151" i="56"/>
  <c r="O151" i="56"/>
  <c r="O150" i="56" s="1"/>
  <c r="N151" i="56"/>
  <c r="M151" i="56"/>
  <c r="M150" i="56" s="1"/>
  <c r="M149" i="56" s="1"/>
  <c r="L151" i="56"/>
  <c r="L150" i="56" s="1"/>
  <c r="K151" i="56"/>
  <c r="J151" i="56"/>
  <c r="J150" i="56" s="1"/>
  <c r="I151" i="56"/>
  <c r="I150" i="56" s="1"/>
  <c r="X150" i="56"/>
  <c r="X149" i="56" s="1"/>
  <c r="P150" i="56"/>
  <c r="P149" i="56" s="1"/>
  <c r="N150" i="56"/>
  <c r="N149" i="56" s="1"/>
  <c r="O149" i="56"/>
  <c r="AB147" i="56"/>
  <c r="AA147" i="56"/>
  <c r="Z147" i="56"/>
  <c r="Y147" i="56"/>
  <c r="X146" i="56"/>
  <c r="X145" i="56" s="1"/>
  <c r="X144" i="56" s="1"/>
  <c r="X143" i="56" s="1"/>
  <c r="W146" i="56"/>
  <c r="V146" i="56"/>
  <c r="V145" i="56" s="1"/>
  <c r="U146" i="56"/>
  <c r="T146" i="56"/>
  <c r="S146" i="56"/>
  <c r="S145" i="56" s="1"/>
  <c r="S144" i="56" s="1"/>
  <c r="S143" i="56" s="1"/>
  <c r="R146" i="56"/>
  <c r="R145" i="56" s="1"/>
  <c r="R144" i="56" s="1"/>
  <c r="R143" i="56" s="1"/>
  <c r="Q146" i="56"/>
  <c r="Q145" i="56" s="1"/>
  <c r="Q144" i="56" s="1"/>
  <c r="Q143" i="56" s="1"/>
  <c r="P146" i="56"/>
  <c r="P145" i="56" s="1"/>
  <c r="O146" i="56"/>
  <c r="O145" i="56" s="1"/>
  <c r="O144" i="56" s="1"/>
  <c r="O143" i="56" s="1"/>
  <c r="N146" i="56"/>
  <c r="N145" i="56" s="1"/>
  <c r="M146" i="56"/>
  <c r="L146" i="56"/>
  <c r="K146" i="56"/>
  <c r="K145" i="56" s="1"/>
  <c r="J146" i="56"/>
  <c r="I146" i="56"/>
  <c r="I145" i="56" s="1"/>
  <c r="W145" i="56"/>
  <c r="W144" i="56" s="1"/>
  <c r="W143" i="56" s="1"/>
  <c r="U145" i="56"/>
  <c r="U144" i="56" s="1"/>
  <c r="U143" i="56" s="1"/>
  <c r="T145" i="56"/>
  <c r="T144" i="56" s="1"/>
  <c r="T143" i="56" s="1"/>
  <c r="M145" i="56"/>
  <c r="M144" i="56" s="1"/>
  <c r="M143" i="56" s="1"/>
  <c r="L145" i="56"/>
  <c r="L144" i="56" s="1"/>
  <c r="L143" i="56" s="1"/>
  <c r="V144" i="56"/>
  <c r="V143" i="56" s="1"/>
  <c r="N144" i="56"/>
  <c r="N143" i="56" s="1"/>
  <c r="K144" i="56"/>
  <c r="K143" i="56" s="1"/>
  <c r="AB142" i="56"/>
  <c r="AA142" i="56"/>
  <c r="Z142" i="56"/>
  <c r="Y142" i="56"/>
  <c r="AB141" i="56"/>
  <c r="AA141" i="56"/>
  <c r="Z141" i="56"/>
  <c r="Y141" i="56"/>
  <c r="AB140" i="56"/>
  <c r="AA140" i="56"/>
  <c r="Z140" i="56"/>
  <c r="Y140" i="56"/>
  <c r="AB139" i="56"/>
  <c r="AA139" i="56"/>
  <c r="Z139" i="56"/>
  <c r="Y139" i="56"/>
  <c r="AB138" i="56"/>
  <c r="AA138" i="56"/>
  <c r="Z138" i="56"/>
  <c r="Y138" i="56"/>
  <c r="X137" i="56"/>
  <c r="X136" i="56" s="1"/>
  <c r="X135" i="56" s="1"/>
  <c r="W137" i="56"/>
  <c r="W136" i="56" s="1"/>
  <c r="W135" i="56" s="1"/>
  <c r="V137" i="56"/>
  <c r="V136" i="56" s="1"/>
  <c r="V135" i="56" s="1"/>
  <c r="U137" i="56"/>
  <c r="T137" i="56"/>
  <c r="T136" i="56" s="1"/>
  <c r="T135" i="56" s="1"/>
  <c r="S137" i="56"/>
  <c r="R137" i="56"/>
  <c r="R136" i="56" s="1"/>
  <c r="Q137" i="56"/>
  <c r="Q136" i="56" s="1"/>
  <c r="Q135" i="56" s="1"/>
  <c r="P137" i="56"/>
  <c r="O137" i="56"/>
  <c r="O136" i="56" s="1"/>
  <c r="N137" i="56"/>
  <c r="M137" i="56"/>
  <c r="L137" i="56"/>
  <c r="K137" i="56"/>
  <c r="K136" i="56" s="1"/>
  <c r="K135" i="56" s="1"/>
  <c r="J137" i="56"/>
  <c r="J136" i="56" s="1"/>
  <c r="J135" i="56" s="1"/>
  <c r="I137" i="56"/>
  <c r="U136" i="56"/>
  <c r="U135" i="56" s="1"/>
  <c r="S136" i="56"/>
  <c r="S135" i="56" s="1"/>
  <c r="P136" i="56"/>
  <c r="P135" i="56" s="1"/>
  <c r="N136" i="56"/>
  <c r="N135" i="56" s="1"/>
  <c r="M136" i="56"/>
  <c r="M135" i="56" s="1"/>
  <c r="I136" i="56"/>
  <c r="I135" i="56" s="1"/>
  <c r="R135" i="56"/>
  <c r="O135" i="56"/>
  <c r="AB134" i="56"/>
  <c r="AA134" i="56"/>
  <c r="Z134" i="56"/>
  <c r="Y134" i="56"/>
  <c r="AB133" i="56"/>
  <c r="AA133" i="56"/>
  <c r="Z133" i="56"/>
  <c r="Y133" i="56"/>
  <c r="X132" i="56"/>
  <c r="X131" i="56" s="1"/>
  <c r="X130" i="56" s="1"/>
  <c r="X129" i="56" s="1"/>
  <c r="W132" i="56"/>
  <c r="W131" i="56" s="1"/>
  <c r="W130" i="56" s="1"/>
  <c r="V132" i="56"/>
  <c r="V131" i="56" s="1"/>
  <c r="U132" i="56"/>
  <c r="T132" i="56"/>
  <c r="S132" i="56"/>
  <c r="S131" i="56" s="1"/>
  <c r="S130" i="56" s="1"/>
  <c r="R132" i="56"/>
  <c r="Q132" i="56"/>
  <c r="P132" i="56"/>
  <c r="P131" i="56" s="1"/>
  <c r="P130" i="56" s="1"/>
  <c r="O132" i="56"/>
  <c r="O131" i="56" s="1"/>
  <c r="O130" i="56" s="1"/>
  <c r="N132" i="56"/>
  <c r="N131" i="56" s="1"/>
  <c r="M132" i="56"/>
  <c r="L132" i="56"/>
  <c r="K132" i="56"/>
  <c r="K131" i="56" s="1"/>
  <c r="K130" i="56" s="1"/>
  <c r="K129" i="56" s="1"/>
  <c r="J132" i="56"/>
  <c r="Z132" i="56" s="1"/>
  <c r="I132" i="56"/>
  <c r="I131" i="56" s="1"/>
  <c r="U131" i="56"/>
  <c r="U130" i="56" s="1"/>
  <c r="U129" i="56" s="1"/>
  <c r="T131" i="56"/>
  <c r="T130" i="56" s="1"/>
  <c r="R131" i="56"/>
  <c r="R130" i="56" s="1"/>
  <c r="R129" i="56" s="1"/>
  <c r="Q131" i="56"/>
  <c r="Q130" i="56" s="1"/>
  <c r="M131" i="56"/>
  <c r="M130" i="56" s="1"/>
  <c r="L131" i="56"/>
  <c r="L130" i="56" s="1"/>
  <c r="J131" i="56"/>
  <c r="V130" i="56"/>
  <c r="N130" i="56"/>
  <c r="AB128" i="56"/>
  <c r="AA128" i="56"/>
  <c r="Z128" i="56"/>
  <c r="Y128" i="56"/>
  <c r="X127" i="56"/>
  <c r="X126" i="56" s="1"/>
  <c r="X125" i="56" s="1"/>
  <c r="W127" i="56"/>
  <c r="W126" i="56" s="1"/>
  <c r="W125" i="56" s="1"/>
  <c r="V127" i="56"/>
  <c r="U127" i="56"/>
  <c r="T127" i="56"/>
  <c r="T126" i="56" s="1"/>
  <c r="T125" i="56" s="1"/>
  <c r="S127" i="56"/>
  <c r="S126" i="56" s="1"/>
  <c r="S125" i="56" s="1"/>
  <c r="R127" i="56"/>
  <c r="R126" i="56" s="1"/>
  <c r="Q127" i="56"/>
  <c r="Q126" i="56" s="1"/>
  <c r="Q125" i="56" s="1"/>
  <c r="P127" i="56"/>
  <c r="P126" i="56" s="1"/>
  <c r="P125" i="56" s="1"/>
  <c r="O127" i="56"/>
  <c r="O126" i="56" s="1"/>
  <c r="N127" i="56"/>
  <c r="N126" i="56" s="1"/>
  <c r="N125" i="56" s="1"/>
  <c r="M127" i="56"/>
  <c r="M126" i="56" s="1"/>
  <c r="M125" i="56" s="1"/>
  <c r="L127" i="56"/>
  <c r="K127" i="56"/>
  <c r="J127" i="56"/>
  <c r="J126" i="56" s="1"/>
  <c r="I127" i="56"/>
  <c r="V126" i="56"/>
  <c r="V125" i="56" s="1"/>
  <c r="U126" i="56"/>
  <c r="U125" i="56" s="1"/>
  <c r="K126" i="56"/>
  <c r="K125" i="56" s="1"/>
  <c r="R125" i="56"/>
  <c r="O125" i="56"/>
  <c r="J125" i="56"/>
  <c r="AB124" i="56"/>
  <c r="AA124" i="56"/>
  <c r="Z124" i="56"/>
  <c r="Y124" i="56"/>
  <c r="X123" i="56"/>
  <c r="W123" i="56"/>
  <c r="W122" i="56" s="1"/>
  <c r="W121" i="56" s="1"/>
  <c r="V123" i="56"/>
  <c r="U123" i="56"/>
  <c r="T123" i="56"/>
  <c r="T122" i="56" s="1"/>
  <c r="T121" i="56" s="1"/>
  <c r="S123" i="56"/>
  <c r="S122" i="56" s="1"/>
  <c r="S121" i="56" s="1"/>
  <c r="R123" i="56"/>
  <c r="R122" i="56" s="1"/>
  <c r="R121" i="56" s="1"/>
  <c r="Q123" i="56"/>
  <c r="Q122" i="56" s="1"/>
  <c r="Q121" i="56" s="1"/>
  <c r="P123" i="56"/>
  <c r="O123" i="56"/>
  <c r="O122" i="56" s="1"/>
  <c r="N123" i="56"/>
  <c r="N122" i="56" s="1"/>
  <c r="N121" i="56" s="1"/>
  <c r="M123" i="56"/>
  <c r="M122" i="56" s="1"/>
  <c r="M121" i="56" s="1"/>
  <c r="L123" i="56"/>
  <c r="K123" i="56"/>
  <c r="K122" i="56" s="1"/>
  <c r="K121" i="56" s="1"/>
  <c r="J123" i="56"/>
  <c r="J122" i="56" s="1"/>
  <c r="I123" i="56"/>
  <c r="X122" i="56"/>
  <c r="X121" i="56" s="1"/>
  <c r="V122" i="56"/>
  <c r="V121" i="56" s="1"/>
  <c r="U122" i="56"/>
  <c r="U121" i="56" s="1"/>
  <c r="P122" i="56"/>
  <c r="P121" i="56" s="1"/>
  <c r="O121" i="56"/>
  <c r="J121" i="56"/>
  <c r="AB120" i="56"/>
  <c r="AA120" i="56"/>
  <c r="Z120" i="56"/>
  <c r="Y120" i="56"/>
  <c r="AB119" i="56"/>
  <c r="AA119" i="56"/>
  <c r="Z119" i="56"/>
  <c r="Y119" i="56"/>
  <c r="X118" i="56"/>
  <c r="X117" i="56" s="1"/>
  <c r="W118" i="56"/>
  <c r="W117" i="56" s="1"/>
  <c r="W116" i="56" s="1"/>
  <c r="V118" i="56"/>
  <c r="V117" i="56" s="1"/>
  <c r="U118" i="56"/>
  <c r="T118" i="56"/>
  <c r="S118" i="56"/>
  <c r="S117" i="56" s="1"/>
  <c r="R118" i="56"/>
  <c r="R117" i="56" s="1"/>
  <c r="R116" i="56" s="1"/>
  <c r="Q118" i="56"/>
  <c r="Q117" i="56" s="1"/>
  <c r="Q116" i="56" s="1"/>
  <c r="P118" i="56"/>
  <c r="P117" i="56" s="1"/>
  <c r="O118" i="56"/>
  <c r="O117" i="56" s="1"/>
  <c r="O116" i="56" s="1"/>
  <c r="N118" i="56"/>
  <c r="N117" i="56" s="1"/>
  <c r="M118" i="56"/>
  <c r="L118" i="56"/>
  <c r="K118" i="56"/>
  <c r="J118" i="56"/>
  <c r="I118" i="56"/>
  <c r="I117" i="56" s="1"/>
  <c r="I116" i="56" s="1"/>
  <c r="U117" i="56"/>
  <c r="U116" i="56" s="1"/>
  <c r="T117" i="56"/>
  <c r="T116" i="56" s="1"/>
  <c r="M117" i="56"/>
  <c r="M116" i="56" s="1"/>
  <c r="L117" i="56"/>
  <c r="L116" i="56" s="1"/>
  <c r="J117" i="56"/>
  <c r="X116" i="56"/>
  <c r="V116" i="56"/>
  <c r="S116" i="56"/>
  <c r="N116" i="56"/>
  <c r="AB115" i="56"/>
  <c r="AB114" i="56" s="1"/>
  <c r="AA115" i="56"/>
  <c r="Z115" i="56"/>
  <c r="Z114" i="56" s="1"/>
  <c r="Y115" i="56"/>
  <c r="AA114" i="56"/>
  <c r="Y114" i="56"/>
  <c r="X114" i="56"/>
  <c r="X113" i="56" s="1"/>
  <c r="X112" i="56" s="1"/>
  <c r="X106" i="56" s="1"/>
  <c r="W114" i="56"/>
  <c r="V114" i="56"/>
  <c r="V113" i="56" s="1"/>
  <c r="U114" i="56"/>
  <c r="U113" i="56" s="1"/>
  <c r="U112" i="56" s="1"/>
  <c r="T114" i="56"/>
  <c r="T113" i="56" s="1"/>
  <c r="T112" i="56" s="1"/>
  <c r="S114" i="56"/>
  <c r="S113" i="56" s="1"/>
  <c r="R114" i="56"/>
  <c r="R113" i="56" s="1"/>
  <c r="R112" i="56" s="1"/>
  <c r="Q114" i="56"/>
  <c r="P114" i="56"/>
  <c r="P113" i="56" s="1"/>
  <c r="O114" i="56"/>
  <c r="O113" i="56" s="1"/>
  <c r="O112" i="56" s="1"/>
  <c r="N114" i="56"/>
  <c r="N113" i="56" s="1"/>
  <c r="M114" i="56"/>
  <c r="M113" i="56" s="1"/>
  <c r="L114" i="56"/>
  <c r="L113" i="56" s="1"/>
  <c r="L112" i="56" s="1"/>
  <c r="K114" i="56"/>
  <c r="K113" i="56" s="1"/>
  <c r="J114" i="56"/>
  <c r="I114" i="56"/>
  <c r="I113" i="56" s="1"/>
  <c r="I112" i="56" s="1"/>
  <c r="W113" i="56"/>
  <c r="W112" i="56" s="1"/>
  <c r="Q113" i="56"/>
  <c r="Q112" i="56" s="1"/>
  <c r="J113" i="56"/>
  <c r="V112" i="56"/>
  <c r="S112" i="56"/>
  <c r="N112" i="56"/>
  <c r="AB111" i="56"/>
  <c r="AA111" i="56"/>
  <c r="Z111" i="56"/>
  <c r="Y111" i="56"/>
  <c r="AB110" i="56"/>
  <c r="AA110" i="56"/>
  <c r="L110" i="56"/>
  <c r="L109" i="56" s="1"/>
  <c r="K110" i="56"/>
  <c r="K109" i="56" s="1"/>
  <c r="J110" i="56"/>
  <c r="Z110" i="56" s="1"/>
  <c r="I110" i="56"/>
  <c r="X109" i="56"/>
  <c r="W109" i="56"/>
  <c r="V109" i="56"/>
  <c r="V108" i="56" s="1"/>
  <c r="V107" i="56" s="1"/>
  <c r="U109" i="56"/>
  <c r="U108" i="56" s="1"/>
  <c r="U107" i="56" s="1"/>
  <c r="T109" i="56"/>
  <c r="T108" i="56" s="1"/>
  <c r="T107" i="56" s="1"/>
  <c r="T106" i="56" s="1"/>
  <c r="S109" i="56"/>
  <c r="S108" i="56" s="1"/>
  <c r="R109" i="56"/>
  <c r="R108" i="56" s="1"/>
  <c r="R107" i="56" s="1"/>
  <c r="R106" i="56" s="1"/>
  <c r="Q109" i="56"/>
  <c r="Q108" i="56" s="1"/>
  <c r="Q107" i="56" s="1"/>
  <c r="P109" i="56"/>
  <c r="O109" i="56"/>
  <c r="N109" i="56"/>
  <c r="N108" i="56" s="1"/>
  <c r="N107" i="56" s="1"/>
  <c r="M109" i="56"/>
  <c r="M108" i="56" s="1"/>
  <c r="X108" i="56"/>
  <c r="X107" i="56" s="1"/>
  <c r="W108" i="56"/>
  <c r="W107" i="56" s="1"/>
  <c r="P108" i="56"/>
  <c r="P107" i="56" s="1"/>
  <c r="O108" i="56"/>
  <c r="O107" i="56" s="1"/>
  <c r="O106" i="56" s="1"/>
  <c r="S107" i="56"/>
  <c r="M107" i="56"/>
  <c r="AB105" i="56"/>
  <c r="AA105" i="56"/>
  <c r="Z105" i="56"/>
  <c r="Y105" i="56"/>
  <c r="X104" i="56"/>
  <c r="X103" i="56" s="1"/>
  <c r="X102" i="56" s="1"/>
  <c r="W104" i="56"/>
  <c r="W103" i="56" s="1"/>
  <c r="W102" i="56" s="1"/>
  <c r="V104" i="56"/>
  <c r="U104" i="56"/>
  <c r="U103" i="56" s="1"/>
  <c r="U102" i="56" s="1"/>
  <c r="T104" i="56"/>
  <c r="S104" i="56"/>
  <c r="R104" i="56"/>
  <c r="R103" i="56" s="1"/>
  <c r="R102" i="56" s="1"/>
  <c r="Q104" i="56"/>
  <c r="Q103" i="56" s="1"/>
  <c r="P104" i="56"/>
  <c r="P103" i="56" s="1"/>
  <c r="P102" i="56" s="1"/>
  <c r="O104" i="56"/>
  <c r="O103" i="56" s="1"/>
  <c r="N104" i="56"/>
  <c r="N103" i="56" s="1"/>
  <c r="N102" i="56" s="1"/>
  <c r="M104" i="56"/>
  <c r="M103" i="56" s="1"/>
  <c r="M102" i="56" s="1"/>
  <c r="L104" i="56"/>
  <c r="K104" i="56"/>
  <c r="J104" i="56"/>
  <c r="J103" i="56" s="1"/>
  <c r="I104" i="56"/>
  <c r="I103" i="56" s="1"/>
  <c r="I102" i="56" s="1"/>
  <c r="Y102" i="56" s="1"/>
  <c r="V103" i="56"/>
  <c r="V102" i="56" s="1"/>
  <c r="T103" i="56"/>
  <c r="T102" i="56" s="1"/>
  <c r="S103" i="56"/>
  <c r="S102" i="56" s="1"/>
  <c r="Q102" i="56"/>
  <c r="O102" i="56"/>
  <c r="AB101" i="56"/>
  <c r="AA101" i="56"/>
  <c r="Z101" i="56"/>
  <c r="Y101" i="56"/>
  <c r="X100" i="56"/>
  <c r="X99" i="56" s="1"/>
  <c r="W100" i="56"/>
  <c r="W99" i="56" s="1"/>
  <c r="V100" i="56"/>
  <c r="U100" i="56"/>
  <c r="T100" i="56"/>
  <c r="T99" i="56" s="1"/>
  <c r="T98" i="56" s="1"/>
  <c r="S100" i="56"/>
  <c r="R100" i="56"/>
  <c r="R99" i="56" s="1"/>
  <c r="R98" i="56" s="1"/>
  <c r="Q100" i="56"/>
  <c r="Q99" i="56" s="1"/>
  <c r="Q98" i="56" s="1"/>
  <c r="P100" i="56"/>
  <c r="P99" i="56" s="1"/>
  <c r="P98" i="56" s="1"/>
  <c r="O100" i="56"/>
  <c r="O99" i="56" s="1"/>
  <c r="N100" i="56"/>
  <c r="N99" i="56" s="1"/>
  <c r="N98" i="56" s="1"/>
  <c r="M100" i="56"/>
  <c r="M99" i="56" s="1"/>
  <c r="M98" i="56" s="1"/>
  <c r="L100" i="56"/>
  <c r="K100" i="56"/>
  <c r="J100" i="56"/>
  <c r="J99" i="56" s="1"/>
  <c r="I100" i="56"/>
  <c r="I99" i="56" s="1"/>
  <c r="V99" i="56"/>
  <c r="V98" i="56" s="1"/>
  <c r="U99" i="56"/>
  <c r="U98" i="56" s="1"/>
  <c r="S99" i="56"/>
  <c r="S98" i="56" s="1"/>
  <c r="L99" i="56"/>
  <c r="L98" i="56" s="1"/>
  <c r="K99" i="56"/>
  <c r="K98" i="56" s="1"/>
  <c r="X98" i="56"/>
  <c r="W98" i="56"/>
  <c r="O98" i="56"/>
  <c r="AB97" i="56"/>
  <c r="AA97" i="56"/>
  <c r="Z97" i="56"/>
  <c r="Y97" i="56"/>
  <c r="X96" i="56"/>
  <c r="X95" i="56" s="1"/>
  <c r="X94" i="56" s="1"/>
  <c r="W96" i="56"/>
  <c r="W95" i="56" s="1"/>
  <c r="W94" i="56" s="1"/>
  <c r="V96" i="56"/>
  <c r="U96" i="56"/>
  <c r="U95" i="56" s="1"/>
  <c r="U94" i="56" s="1"/>
  <c r="T96" i="56"/>
  <c r="T95" i="56" s="1"/>
  <c r="T94" i="56" s="1"/>
  <c r="S96" i="56"/>
  <c r="S95" i="56" s="1"/>
  <c r="S94" i="56" s="1"/>
  <c r="R96" i="56"/>
  <c r="R95" i="56" s="1"/>
  <c r="R94" i="56" s="1"/>
  <c r="Q96" i="56"/>
  <c r="Q95" i="56" s="1"/>
  <c r="Q94" i="56" s="1"/>
  <c r="P96" i="56"/>
  <c r="P95" i="56" s="1"/>
  <c r="P94" i="56" s="1"/>
  <c r="O96" i="56"/>
  <c r="O95" i="56" s="1"/>
  <c r="O94" i="56" s="1"/>
  <c r="N96" i="56"/>
  <c r="N95" i="56" s="1"/>
  <c r="N94" i="56" s="1"/>
  <c r="M96" i="56"/>
  <c r="L96" i="56"/>
  <c r="K96" i="56"/>
  <c r="J96" i="56"/>
  <c r="J95" i="56" s="1"/>
  <c r="I96" i="56"/>
  <c r="I95" i="56" s="1"/>
  <c r="V95" i="56"/>
  <c r="V94" i="56" s="1"/>
  <c r="M95" i="56"/>
  <c r="M94" i="56" s="1"/>
  <c r="L95" i="56"/>
  <c r="L94" i="56" s="1"/>
  <c r="AB94" i="56" s="1"/>
  <c r="K95" i="56"/>
  <c r="K94" i="56" s="1"/>
  <c r="I94" i="56"/>
  <c r="AB93" i="56"/>
  <c r="AA93" i="56"/>
  <c r="Z93" i="56"/>
  <c r="Y93" i="56"/>
  <c r="AB92" i="56"/>
  <c r="AA92" i="56"/>
  <c r="Z92" i="56"/>
  <c r="I92" i="56"/>
  <c r="X91" i="56"/>
  <c r="W91" i="56"/>
  <c r="V91" i="56"/>
  <c r="V90" i="56" s="1"/>
  <c r="V89" i="56" s="1"/>
  <c r="U91" i="56"/>
  <c r="U90" i="56" s="1"/>
  <c r="U89" i="56" s="1"/>
  <c r="T91" i="56"/>
  <c r="T90" i="56" s="1"/>
  <c r="T89" i="56" s="1"/>
  <c r="S91" i="56"/>
  <c r="R91" i="56"/>
  <c r="Q91" i="56"/>
  <c r="P91" i="56"/>
  <c r="O91" i="56"/>
  <c r="N91" i="56"/>
  <c r="N90" i="56" s="1"/>
  <c r="M91" i="56"/>
  <c r="M90" i="56" s="1"/>
  <c r="L91" i="56"/>
  <c r="L90" i="56" s="1"/>
  <c r="K91" i="56"/>
  <c r="J91" i="56"/>
  <c r="X90" i="56"/>
  <c r="X89" i="56" s="1"/>
  <c r="W90" i="56"/>
  <c r="W89" i="56" s="1"/>
  <c r="S90" i="56"/>
  <c r="S89" i="56" s="1"/>
  <c r="R90" i="56"/>
  <c r="R89" i="56" s="1"/>
  <c r="Q90" i="56"/>
  <c r="Q89" i="56" s="1"/>
  <c r="P90" i="56"/>
  <c r="P89" i="56" s="1"/>
  <c r="O90" i="56"/>
  <c r="O89" i="56"/>
  <c r="N89" i="56"/>
  <c r="M89" i="56"/>
  <c r="L89" i="56"/>
  <c r="AB88" i="56"/>
  <c r="AA88" i="56"/>
  <c r="Z88" i="56"/>
  <c r="Y88" i="56"/>
  <c r="X87" i="56"/>
  <c r="W87" i="56"/>
  <c r="V87" i="56"/>
  <c r="V86" i="56" s="1"/>
  <c r="V85" i="56" s="1"/>
  <c r="U87" i="56"/>
  <c r="U86" i="56" s="1"/>
  <c r="U85" i="56" s="1"/>
  <c r="T87" i="56"/>
  <c r="T86" i="56" s="1"/>
  <c r="S87" i="56"/>
  <c r="S86" i="56" s="1"/>
  <c r="S85" i="56" s="1"/>
  <c r="R87" i="56"/>
  <c r="R86" i="56" s="1"/>
  <c r="R85" i="56" s="1"/>
  <c r="Q87" i="56"/>
  <c r="P87" i="56"/>
  <c r="O87" i="56"/>
  <c r="N87" i="56"/>
  <c r="N86" i="56" s="1"/>
  <c r="N85" i="56" s="1"/>
  <c r="M87" i="56"/>
  <c r="M86" i="56" s="1"/>
  <c r="M85" i="56" s="1"/>
  <c r="L87" i="56"/>
  <c r="K87" i="56"/>
  <c r="J87" i="56"/>
  <c r="J86" i="56" s="1"/>
  <c r="I87" i="56"/>
  <c r="I86" i="56" s="1"/>
  <c r="X86" i="56"/>
  <c r="X85" i="56" s="1"/>
  <c r="W86" i="56"/>
  <c r="Q86" i="56"/>
  <c r="Q85" i="56" s="1"/>
  <c r="P86" i="56"/>
  <c r="P85" i="56" s="1"/>
  <c r="O86" i="56"/>
  <c r="W85" i="56"/>
  <c r="T85" i="56"/>
  <c r="O85" i="56"/>
  <c r="AB84" i="56"/>
  <c r="AA84" i="56"/>
  <c r="Z84" i="56"/>
  <c r="Y84" i="56"/>
  <c r="AB83" i="56"/>
  <c r="AA83" i="56"/>
  <c r="Z83" i="56"/>
  <c r="Y83" i="56"/>
  <c r="AB82" i="56"/>
  <c r="AA82" i="56"/>
  <c r="Z82" i="56"/>
  <c r="I82" i="56"/>
  <c r="Y82" i="56" s="1"/>
  <c r="X81" i="56"/>
  <c r="W81" i="56"/>
  <c r="W80" i="56" s="1"/>
  <c r="W79" i="56" s="1"/>
  <c r="V81" i="56"/>
  <c r="V80" i="56" s="1"/>
  <c r="V79" i="56" s="1"/>
  <c r="U81" i="56"/>
  <c r="U80" i="56" s="1"/>
  <c r="U79" i="56" s="1"/>
  <c r="T81" i="56"/>
  <c r="T80" i="56" s="1"/>
  <c r="T79" i="56" s="1"/>
  <c r="S81" i="56"/>
  <c r="R81" i="56"/>
  <c r="Q81" i="56"/>
  <c r="P81" i="56"/>
  <c r="P80" i="56" s="1"/>
  <c r="P79" i="56" s="1"/>
  <c r="O81" i="56"/>
  <c r="O80" i="56" s="1"/>
  <c r="O79" i="56" s="1"/>
  <c r="N81" i="56"/>
  <c r="N80" i="56" s="1"/>
  <c r="M81" i="56"/>
  <c r="M80" i="56" s="1"/>
  <c r="L81" i="56"/>
  <c r="K81" i="56"/>
  <c r="K80" i="56" s="1"/>
  <c r="J81" i="56"/>
  <c r="X80" i="56"/>
  <c r="X79" i="56" s="1"/>
  <c r="S80" i="56"/>
  <c r="S79" i="56" s="1"/>
  <c r="R80" i="56"/>
  <c r="R79" i="56" s="1"/>
  <c r="Q80" i="56"/>
  <c r="Q79" i="56" s="1"/>
  <c r="N79" i="56"/>
  <c r="M79" i="56"/>
  <c r="AB78" i="56"/>
  <c r="AA78" i="56"/>
  <c r="Z78" i="56"/>
  <c r="Y78" i="56"/>
  <c r="X77" i="56"/>
  <c r="X76" i="56" s="1"/>
  <c r="X75" i="56" s="1"/>
  <c r="W77" i="56"/>
  <c r="W76" i="56" s="1"/>
  <c r="V77" i="56"/>
  <c r="V76" i="56" s="1"/>
  <c r="V75" i="56" s="1"/>
  <c r="U77" i="56"/>
  <c r="U76" i="56" s="1"/>
  <c r="U75" i="56" s="1"/>
  <c r="T77" i="56"/>
  <c r="T76" i="56" s="1"/>
  <c r="T75" i="56" s="1"/>
  <c r="S77" i="56"/>
  <c r="R77" i="56"/>
  <c r="R76" i="56" s="1"/>
  <c r="R75" i="56" s="1"/>
  <c r="Q77" i="56"/>
  <c r="P77" i="56"/>
  <c r="O77" i="56"/>
  <c r="O76" i="56" s="1"/>
  <c r="O75" i="56" s="1"/>
  <c r="N77" i="56"/>
  <c r="N76" i="56" s="1"/>
  <c r="N75" i="56" s="1"/>
  <c r="M77" i="56"/>
  <c r="M76" i="56" s="1"/>
  <c r="M75" i="56" s="1"/>
  <c r="L77" i="56"/>
  <c r="K77" i="56"/>
  <c r="J77" i="56"/>
  <c r="I77" i="56"/>
  <c r="S76" i="56"/>
  <c r="S75" i="56" s="1"/>
  <c r="Q76" i="56"/>
  <c r="Q75" i="56" s="1"/>
  <c r="P76" i="56"/>
  <c r="P75" i="56" s="1"/>
  <c r="K76" i="56"/>
  <c r="K75" i="56" s="1"/>
  <c r="J76" i="56"/>
  <c r="J75" i="56" s="1"/>
  <c r="I76" i="56"/>
  <c r="I75" i="56" s="1"/>
  <c r="W75" i="56"/>
  <c r="AB74" i="56"/>
  <c r="AA74" i="56"/>
  <c r="Z74" i="56"/>
  <c r="I74" i="56"/>
  <c r="AB73" i="56"/>
  <c r="AA73" i="56"/>
  <c r="Z73" i="56"/>
  <c r="Y73" i="56"/>
  <c r="X72" i="56"/>
  <c r="X71" i="56" s="1"/>
  <c r="X70" i="56" s="1"/>
  <c r="W72" i="56"/>
  <c r="W71" i="56" s="1"/>
  <c r="W70" i="56" s="1"/>
  <c r="V72" i="56"/>
  <c r="U72" i="56"/>
  <c r="T72" i="56"/>
  <c r="T71" i="56" s="1"/>
  <c r="S72" i="56"/>
  <c r="S71" i="56" s="1"/>
  <c r="S70" i="56" s="1"/>
  <c r="R72" i="56"/>
  <c r="R71" i="56" s="1"/>
  <c r="Q72" i="56"/>
  <c r="Q71" i="56" s="1"/>
  <c r="Q70" i="56" s="1"/>
  <c r="P72" i="56"/>
  <c r="P71" i="56" s="1"/>
  <c r="P70" i="56" s="1"/>
  <c r="O72" i="56"/>
  <c r="O71" i="56" s="1"/>
  <c r="O70" i="56" s="1"/>
  <c r="N72" i="56"/>
  <c r="N71" i="56" s="1"/>
  <c r="N70" i="56" s="1"/>
  <c r="M72" i="56"/>
  <c r="L72" i="56"/>
  <c r="L71" i="56" s="1"/>
  <c r="L70" i="56" s="1"/>
  <c r="K72" i="56"/>
  <c r="K71" i="56" s="1"/>
  <c r="J72" i="56"/>
  <c r="V71" i="56"/>
  <c r="V70" i="56" s="1"/>
  <c r="U71" i="56"/>
  <c r="U70" i="56" s="1"/>
  <c r="M71" i="56"/>
  <c r="M70" i="56" s="1"/>
  <c r="T70" i="56"/>
  <c r="T64" i="56" s="1"/>
  <c r="R70" i="56"/>
  <c r="AB69" i="56"/>
  <c r="AA69" i="56"/>
  <c r="Z69" i="56"/>
  <c r="Y69" i="56"/>
  <c r="AB68" i="56"/>
  <c r="AA68" i="56"/>
  <c r="Z68" i="56"/>
  <c r="Y68" i="56"/>
  <c r="X67" i="56"/>
  <c r="X66" i="56" s="1"/>
  <c r="X65" i="56" s="1"/>
  <c r="W67" i="56"/>
  <c r="W66" i="56" s="1"/>
  <c r="W65" i="56" s="1"/>
  <c r="V67" i="56"/>
  <c r="V66" i="56" s="1"/>
  <c r="V65" i="56" s="1"/>
  <c r="U67" i="56"/>
  <c r="U66" i="56" s="1"/>
  <c r="U65" i="56" s="1"/>
  <c r="T67" i="56"/>
  <c r="S67" i="56"/>
  <c r="R67" i="56"/>
  <c r="Q67" i="56"/>
  <c r="P67" i="56"/>
  <c r="P66" i="56" s="1"/>
  <c r="P65" i="56" s="1"/>
  <c r="O67" i="56"/>
  <c r="O66" i="56" s="1"/>
  <c r="O65" i="56" s="1"/>
  <c r="N67" i="56"/>
  <c r="N66" i="56" s="1"/>
  <c r="N65" i="56" s="1"/>
  <c r="M67" i="56"/>
  <c r="M66" i="56" s="1"/>
  <c r="M65" i="56" s="1"/>
  <c r="L67" i="56"/>
  <c r="K67" i="56"/>
  <c r="J67" i="56"/>
  <c r="J66" i="56" s="1"/>
  <c r="J65" i="56" s="1"/>
  <c r="I67" i="56"/>
  <c r="T66" i="56"/>
  <c r="T65" i="56" s="1"/>
  <c r="S66" i="56"/>
  <c r="S65" i="56" s="1"/>
  <c r="R66" i="56"/>
  <c r="Q66" i="56"/>
  <c r="Q65" i="56" s="1"/>
  <c r="I66" i="56"/>
  <c r="Y66" i="56" s="1"/>
  <c r="AB63" i="56"/>
  <c r="AA63" i="56"/>
  <c r="Z63" i="56"/>
  <c r="I63" i="56"/>
  <c r="AB62" i="56"/>
  <c r="AA62" i="56"/>
  <c r="Z62" i="56"/>
  <c r="Y62" i="56"/>
  <c r="AB61" i="56"/>
  <c r="AA61" i="56"/>
  <c r="Z61" i="56"/>
  <c r="Y61" i="56"/>
  <c r="X60" i="56"/>
  <c r="X59" i="56" s="1"/>
  <c r="X58" i="56" s="1"/>
  <c r="W60" i="56"/>
  <c r="W59" i="56" s="1"/>
  <c r="W58" i="56" s="1"/>
  <c r="V60" i="56"/>
  <c r="V59" i="56" s="1"/>
  <c r="V58" i="56" s="1"/>
  <c r="U60" i="56"/>
  <c r="U59" i="56" s="1"/>
  <c r="T60" i="56"/>
  <c r="T59" i="56" s="1"/>
  <c r="T58" i="56" s="1"/>
  <c r="S60" i="56"/>
  <c r="S59" i="56" s="1"/>
  <c r="R60" i="56"/>
  <c r="R59" i="56" s="1"/>
  <c r="Q60" i="56"/>
  <c r="P60" i="56"/>
  <c r="P59" i="56" s="1"/>
  <c r="P58" i="56" s="1"/>
  <c r="O60" i="56"/>
  <c r="O59" i="56" s="1"/>
  <c r="O58" i="56" s="1"/>
  <c r="N60" i="56"/>
  <c r="N59" i="56" s="1"/>
  <c r="N58" i="56" s="1"/>
  <c r="M60" i="56"/>
  <c r="M59" i="56" s="1"/>
  <c r="M58" i="56" s="1"/>
  <c r="L60" i="56"/>
  <c r="K60" i="56"/>
  <c r="K59" i="56" s="1"/>
  <c r="K58" i="56" s="1"/>
  <c r="AA58" i="56" s="1"/>
  <c r="J60" i="56"/>
  <c r="J59" i="56" s="1"/>
  <c r="J58" i="56" s="1"/>
  <c r="Z58" i="56" s="1"/>
  <c r="Q59" i="56"/>
  <c r="Q58" i="56" s="1"/>
  <c r="U58" i="56"/>
  <c r="S58" i="56"/>
  <c r="R58" i="56"/>
  <c r="AB57" i="56"/>
  <c r="AA57" i="56"/>
  <c r="Z57" i="56"/>
  <c r="Y57" i="56"/>
  <c r="AB56" i="56"/>
  <c r="AA56" i="56"/>
  <c r="Z56" i="56"/>
  <c r="I56" i="56"/>
  <c r="B8" i="57" s="1"/>
  <c r="EI8" i="57" s="1"/>
  <c r="AB55" i="56"/>
  <c r="AA55" i="56"/>
  <c r="Z55" i="56"/>
  <c r="Y55" i="56"/>
  <c r="X54" i="56"/>
  <c r="X53" i="56" s="1"/>
  <c r="X52" i="56" s="1"/>
  <c r="W54" i="56"/>
  <c r="W53" i="56" s="1"/>
  <c r="W52" i="56" s="1"/>
  <c r="V54" i="56"/>
  <c r="V53" i="56" s="1"/>
  <c r="V52" i="56" s="1"/>
  <c r="U54" i="56"/>
  <c r="U53" i="56" s="1"/>
  <c r="U52" i="56" s="1"/>
  <c r="T54" i="56"/>
  <c r="T53" i="56" s="1"/>
  <c r="S54" i="56"/>
  <c r="S53" i="56" s="1"/>
  <c r="S52" i="56" s="1"/>
  <c r="R54" i="56"/>
  <c r="Q54" i="56"/>
  <c r="P54" i="56"/>
  <c r="P53" i="56" s="1"/>
  <c r="P52" i="56" s="1"/>
  <c r="P51" i="56" s="1"/>
  <c r="O54" i="56"/>
  <c r="O53" i="56" s="1"/>
  <c r="O52" i="56" s="1"/>
  <c r="N54" i="56"/>
  <c r="N53" i="56" s="1"/>
  <c r="N52" i="56" s="1"/>
  <c r="M54" i="56"/>
  <c r="M53" i="56" s="1"/>
  <c r="M52" i="56" s="1"/>
  <c r="L54" i="56"/>
  <c r="L53" i="56" s="1"/>
  <c r="K54" i="56"/>
  <c r="K53" i="56" s="1"/>
  <c r="K52" i="56" s="1"/>
  <c r="K51" i="56" s="1"/>
  <c r="J54" i="56"/>
  <c r="J53" i="56" s="1"/>
  <c r="J52" i="56" s="1"/>
  <c r="R53" i="56"/>
  <c r="R52" i="56" s="1"/>
  <c r="Q53" i="56"/>
  <c r="Q52" i="56" s="1"/>
  <c r="T52" i="56"/>
  <c r="L52" i="56"/>
  <c r="AB49" i="56"/>
  <c r="AA49" i="56"/>
  <c r="Z49" i="56"/>
  <c r="Y49" i="56"/>
  <c r="AB48" i="56"/>
  <c r="AA48" i="56"/>
  <c r="Z48" i="56"/>
  <c r="Y48" i="56"/>
  <c r="AB47" i="56"/>
  <c r="AA47" i="56"/>
  <c r="Z47" i="56"/>
  <c r="Y47" i="56"/>
  <c r="AB46" i="56"/>
  <c r="AA46" i="56"/>
  <c r="Z46" i="56"/>
  <c r="Y46" i="56"/>
  <c r="AB45" i="56"/>
  <c r="AA45" i="56"/>
  <c r="Z45" i="56"/>
  <c r="Y45" i="56"/>
  <c r="Y44" i="56" s="1"/>
  <c r="AB44" i="56"/>
  <c r="X44" i="56"/>
  <c r="W44" i="56"/>
  <c r="V44" i="56"/>
  <c r="U44" i="56"/>
  <c r="T44" i="56"/>
  <c r="S44" i="56"/>
  <c r="R44" i="56"/>
  <c r="Q44" i="56"/>
  <c r="P44" i="56"/>
  <c r="P39" i="56" s="1"/>
  <c r="O44" i="56"/>
  <c r="O39" i="56" s="1"/>
  <c r="N44" i="56"/>
  <c r="M44" i="56"/>
  <c r="L44" i="56"/>
  <c r="K44" i="56"/>
  <c r="J44" i="56"/>
  <c r="I44" i="56"/>
  <c r="AB43" i="56"/>
  <c r="AA43" i="56"/>
  <c r="Z43" i="56"/>
  <c r="Y43" i="56"/>
  <c r="AB42" i="56"/>
  <c r="AA42" i="56"/>
  <c r="Z42" i="56"/>
  <c r="Y42" i="56"/>
  <c r="AB41" i="56"/>
  <c r="AA41" i="56"/>
  <c r="Z41" i="56"/>
  <c r="Y41" i="56"/>
  <c r="AA40" i="56"/>
  <c r="X40" i="56"/>
  <c r="X39" i="56" s="1"/>
  <c r="W40" i="56"/>
  <c r="V40" i="56"/>
  <c r="V39" i="56" s="1"/>
  <c r="U40" i="56"/>
  <c r="T40" i="56"/>
  <c r="S40" i="56"/>
  <c r="R40" i="56"/>
  <c r="R39" i="56" s="1"/>
  <c r="Q40" i="56"/>
  <c r="P40" i="56"/>
  <c r="O40" i="56"/>
  <c r="N40" i="56"/>
  <c r="N39" i="56" s="1"/>
  <c r="M40" i="56"/>
  <c r="L40" i="56"/>
  <c r="K40" i="56"/>
  <c r="J40" i="56"/>
  <c r="I40" i="56"/>
  <c r="W39" i="56"/>
  <c r="M39" i="56"/>
  <c r="J39" i="56"/>
  <c r="Z39" i="56" s="1"/>
  <c r="AB38" i="56"/>
  <c r="AA38" i="56"/>
  <c r="Z38" i="56"/>
  <c r="Y38" i="56"/>
  <c r="AB37" i="56"/>
  <c r="AA37" i="56"/>
  <c r="Z37" i="56"/>
  <c r="Y37" i="56"/>
  <c r="AB36" i="56"/>
  <c r="AA36" i="56"/>
  <c r="Z36" i="56"/>
  <c r="Y36" i="56"/>
  <c r="X35" i="56"/>
  <c r="W35" i="56"/>
  <c r="V35" i="56"/>
  <c r="U35" i="56"/>
  <c r="T35" i="56"/>
  <c r="S35" i="56"/>
  <c r="R35" i="56"/>
  <c r="Q35" i="56"/>
  <c r="P35" i="56"/>
  <c r="O35" i="56"/>
  <c r="N35" i="56"/>
  <c r="M35" i="56"/>
  <c r="L35" i="56"/>
  <c r="K35" i="56"/>
  <c r="J35" i="56"/>
  <c r="I35" i="56"/>
  <c r="AB34" i="56"/>
  <c r="AA34" i="56"/>
  <c r="Z34" i="56"/>
  <c r="Y34" i="56"/>
  <c r="X33" i="56"/>
  <c r="W33" i="56"/>
  <c r="V33" i="56"/>
  <c r="U33" i="56"/>
  <c r="T33" i="56"/>
  <c r="T26" i="56" s="1"/>
  <c r="S33" i="56"/>
  <c r="R33" i="56"/>
  <c r="Q33" i="56"/>
  <c r="P33" i="56"/>
  <c r="O33" i="56"/>
  <c r="N33" i="56"/>
  <c r="M33" i="56"/>
  <c r="L33" i="56"/>
  <c r="K33" i="56"/>
  <c r="J33" i="56"/>
  <c r="Z33" i="56" s="1"/>
  <c r="I33" i="56"/>
  <c r="Y33" i="56" s="1"/>
  <c r="AB32" i="56"/>
  <c r="AA32" i="56"/>
  <c r="Z32" i="56"/>
  <c r="Y32" i="56"/>
  <c r="X31" i="56"/>
  <c r="W31" i="56"/>
  <c r="V31" i="56"/>
  <c r="U31" i="56"/>
  <c r="T31" i="56"/>
  <c r="S31" i="56"/>
  <c r="R31" i="56"/>
  <c r="Q31" i="56"/>
  <c r="P31" i="56"/>
  <c r="O31" i="56"/>
  <c r="N31" i="56"/>
  <c r="M31" i="56"/>
  <c r="L31" i="56"/>
  <c r="K31" i="56"/>
  <c r="J31" i="56"/>
  <c r="I31" i="56"/>
  <c r="AB30" i="56"/>
  <c r="AA30" i="56"/>
  <c r="Z30" i="56"/>
  <c r="Y30" i="56"/>
  <c r="AB29" i="56"/>
  <c r="AA29" i="56"/>
  <c r="Z29" i="56"/>
  <c r="Y29" i="56"/>
  <c r="X28" i="56"/>
  <c r="X27" i="56" s="1"/>
  <c r="W28" i="56"/>
  <c r="V28" i="56"/>
  <c r="V27" i="56" s="1"/>
  <c r="U28" i="56"/>
  <c r="T28" i="56"/>
  <c r="T27" i="56" s="1"/>
  <c r="S28" i="56"/>
  <c r="S27" i="56" s="1"/>
  <c r="S26" i="56" s="1"/>
  <c r="R28" i="56"/>
  <c r="Q28" i="56"/>
  <c r="Q27" i="56" s="1"/>
  <c r="Q26" i="56" s="1"/>
  <c r="P28" i="56"/>
  <c r="AB28" i="56" s="1"/>
  <c r="O28" i="56"/>
  <c r="N28" i="56"/>
  <c r="N27" i="56" s="1"/>
  <c r="M28" i="56"/>
  <c r="M27" i="56" s="1"/>
  <c r="M26" i="56" s="1"/>
  <c r="L28" i="56"/>
  <c r="L27" i="56" s="1"/>
  <c r="K28" i="56"/>
  <c r="J28" i="56"/>
  <c r="I28" i="56"/>
  <c r="W27" i="56"/>
  <c r="U27" i="56"/>
  <c r="U26" i="56" s="1"/>
  <c r="R27" i="56"/>
  <c r="P27" i="56"/>
  <c r="O27" i="56"/>
  <c r="O26" i="56" s="1"/>
  <c r="J27" i="56"/>
  <c r="AB25" i="56"/>
  <c r="AA25" i="56"/>
  <c r="Z25" i="56"/>
  <c r="Y25" i="56"/>
  <c r="AB24" i="56"/>
  <c r="AA24" i="56"/>
  <c r="Z24" i="56"/>
  <c r="Y24" i="56"/>
  <c r="AB23" i="56"/>
  <c r="AA23" i="56"/>
  <c r="Z23" i="56"/>
  <c r="Y23" i="56"/>
  <c r="X22" i="56"/>
  <c r="W22" i="56"/>
  <c r="V22" i="56"/>
  <c r="U22" i="56"/>
  <c r="T22" i="56"/>
  <c r="S22" i="56"/>
  <c r="R22" i="56"/>
  <c r="Q22" i="56"/>
  <c r="P22" i="56"/>
  <c r="O22" i="56"/>
  <c r="N22" i="56"/>
  <c r="M22" i="56"/>
  <c r="L22" i="56"/>
  <c r="K22" i="56"/>
  <c r="J22" i="56"/>
  <c r="I22" i="56"/>
  <c r="AB21" i="56"/>
  <c r="AA21" i="56"/>
  <c r="Z21" i="56"/>
  <c r="Y21" i="56"/>
  <c r="AB20" i="56"/>
  <c r="AA20" i="56"/>
  <c r="Z20" i="56"/>
  <c r="Y20" i="56"/>
  <c r="AB19" i="56"/>
  <c r="AA19" i="56"/>
  <c r="Z19" i="56"/>
  <c r="Y19" i="56"/>
  <c r="X18" i="56"/>
  <c r="W18" i="56"/>
  <c r="V18" i="56"/>
  <c r="U18" i="56"/>
  <c r="T18" i="56"/>
  <c r="S18" i="56"/>
  <c r="R18" i="56"/>
  <c r="Q18" i="56"/>
  <c r="P18" i="56"/>
  <c r="P17" i="56" s="1"/>
  <c r="O18" i="56"/>
  <c r="O17" i="56" s="1"/>
  <c r="N18" i="56"/>
  <c r="M18" i="56"/>
  <c r="M17" i="56" s="1"/>
  <c r="X17" i="56"/>
  <c r="W17" i="56"/>
  <c r="V17" i="56"/>
  <c r="U17" i="56"/>
  <c r="S17" i="56"/>
  <c r="R17" i="56"/>
  <c r="Q17" i="56"/>
  <c r="L17" i="56"/>
  <c r="K17" i="56"/>
  <c r="J17" i="56"/>
  <c r="I17" i="56"/>
  <c r="AB16" i="56"/>
  <c r="AA16" i="56"/>
  <c r="Z16" i="56"/>
  <c r="Y16" i="56"/>
  <c r="X15" i="56"/>
  <c r="W15" i="56"/>
  <c r="V15" i="56"/>
  <c r="U15" i="56"/>
  <c r="T15" i="56"/>
  <c r="S15" i="56"/>
  <c r="R15" i="56"/>
  <c r="Q15" i="56"/>
  <c r="P15" i="56"/>
  <c r="O15" i="56"/>
  <c r="N15" i="56"/>
  <c r="M15" i="56"/>
  <c r="L15" i="56"/>
  <c r="K15" i="56"/>
  <c r="AA15" i="56" s="1"/>
  <c r="J15" i="56"/>
  <c r="Z15" i="56" s="1"/>
  <c r="I15" i="56"/>
  <c r="AB14" i="56"/>
  <c r="AA14" i="56"/>
  <c r="Z14" i="56"/>
  <c r="Y14" i="56"/>
  <c r="AB13" i="56"/>
  <c r="AA13" i="56"/>
  <c r="Z13" i="56"/>
  <c r="I13" i="56"/>
  <c r="Y13" i="56" s="1"/>
  <c r="X12" i="56"/>
  <c r="X11" i="56" s="1"/>
  <c r="W12" i="56"/>
  <c r="V12" i="56"/>
  <c r="V11" i="56" s="1"/>
  <c r="V10" i="56" s="1"/>
  <c r="U12" i="56"/>
  <c r="T12" i="56"/>
  <c r="T11" i="56" s="1"/>
  <c r="T10" i="56" s="1"/>
  <c r="S12" i="56"/>
  <c r="S11" i="56" s="1"/>
  <c r="S10" i="56" s="1"/>
  <c r="R12" i="56"/>
  <c r="Q12" i="56"/>
  <c r="Q11" i="56" s="1"/>
  <c r="Q10" i="56" s="1"/>
  <c r="P12" i="56"/>
  <c r="P11" i="56" s="1"/>
  <c r="P10" i="56" s="1"/>
  <c r="O12" i="56"/>
  <c r="N12" i="56"/>
  <c r="N11" i="56" s="1"/>
  <c r="N10" i="56" s="1"/>
  <c r="M12" i="56"/>
  <c r="L12" i="56"/>
  <c r="K12" i="56"/>
  <c r="K11" i="56" s="1"/>
  <c r="J12" i="56"/>
  <c r="I12" i="56"/>
  <c r="I11" i="56" s="1"/>
  <c r="W11" i="56"/>
  <c r="W10" i="56" s="1"/>
  <c r="U11" i="56"/>
  <c r="U10" i="56" s="1"/>
  <c r="R11" i="56"/>
  <c r="R10" i="56" s="1"/>
  <c r="O11" i="56"/>
  <c r="O10" i="56" s="1"/>
  <c r="O9" i="56" s="1"/>
  <c r="M11" i="56"/>
  <c r="M10" i="56" s="1"/>
  <c r="M9" i="56" s="1"/>
  <c r="L11" i="56"/>
  <c r="X10" i="56"/>
  <c r="AB8" i="56"/>
  <c r="AA8" i="56"/>
  <c r="Z8" i="56"/>
  <c r="Y8" i="56"/>
  <c r="AB7" i="56"/>
  <c r="AA7" i="56"/>
  <c r="Z7" i="56"/>
  <c r="Y7" i="56"/>
  <c r="X6" i="56"/>
  <c r="W6" i="56"/>
  <c r="V6" i="56"/>
  <c r="U6" i="56"/>
  <c r="T6" i="56"/>
  <c r="S6" i="56"/>
  <c r="R6" i="56"/>
  <c r="Q6" i="56"/>
  <c r="P6" i="56"/>
  <c r="O6" i="56"/>
  <c r="N6" i="56"/>
  <c r="M6" i="56"/>
  <c r="L6" i="56"/>
  <c r="K6" i="56"/>
  <c r="J6" i="56"/>
  <c r="I6" i="56"/>
  <c r="AB5" i="56"/>
  <c r="AA5" i="56"/>
  <c r="Z5" i="56"/>
  <c r="Y5" i="56"/>
  <c r="O1006" i="55"/>
  <c r="V1006" i="55" s="1"/>
  <c r="O1005" i="55"/>
  <c r="V1005" i="55" s="1"/>
  <c r="O1004" i="55"/>
  <c r="V1004" i="55" s="1"/>
  <c r="O1003" i="55"/>
  <c r="V1003" i="55" s="1"/>
  <c r="O1002" i="55"/>
  <c r="V1002" i="55" s="1"/>
  <c r="U1001" i="55"/>
  <c r="T1001" i="55"/>
  <c r="T1000" i="55" s="1"/>
  <c r="S1001" i="55"/>
  <c r="S1000" i="55" s="1"/>
  <c r="R1001" i="55"/>
  <c r="R1000" i="55" s="1"/>
  <c r="Q1001" i="55"/>
  <c r="Q1000" i="55" s="1"/>
  <c r="P1001" i="55"/>
  <c r="P1000" i="55" s="1"/>
  <c r="N1001" i="55"/>
  <c r="N1000" i="55" s="1"/>
  <c r="M1001" i="55"/>
  <c r="M1000" i="55" s="1"/>
  <c r="L1001" i="55"/>
  <c r="O999" i="55"/>
  <c r="V999" i="55" s="1"/>
  <c r="O998" i="55"/>
  <c r="V998" i="55" s="1"/>
  <c r="V997" i="55"/>
  <c r="O997" i="55"/>
  <c r="O996" i="55"/>
  <c r="V996" i="55" s="1"/>
  <c r="O995" i="55"/>
  <c r="V995" i="55" s="1"/>
  <c r="U994" i="55"/>
  <c r="T994" i="55"/>
  <c r="T993" i="55" s="1"/>
  <c r="S994" i="55"/>
  <c r="R994" i="55"/>
  <c r="Q994" i="55"/>
  <c r="Q993" i="55" s="1"/>
  <c r="P994" i="55"/>
  <c r="N994" i="55"/>
  <c r="N993" i="55" s="1"/>
  <c r="M994" i="55"/>
  <c r="M993" i="55" s="1"/>
  <c r="L994" i="55"/>
  <c r="S993" i="55"/>
  <c r="R993" i="55"/>
  <c r="P993" i="55"/>
  <c r="O992" i="55"/>
  <c r="V992" i="55" s="1"/>
  <c r="O991" i="55"/>
  <c r="V991" i="55" s="1"/>
  <c r="V990" i="55"/>
  <c r="O990" i="55"/>
  <c r="O989" i="55"/>
  <c r="V989" i="55" s="1"/>
  <c r="U988" i="55"/>
  <c r="T988" i="55"/>
  <c r="T987" i="55" s="1"/>
  <c r="S988" i="55"/>
  <c r="S987" i="55" s="1"/>
  <c r="R988" i="55"/>
  <c r="R987" i="55" s="1"/>
  <c r="Q988" i="55"/>
  <c r="Q987" i="55" s="1"/>
  <c r="P988" i="55"/>
  <c r="P987" i="55" s="1"/>
  <c r="N988" i="55"/>
  <c r="N987" i="55" s="1"/>
  <c r="M988" i="55"/>
  <c r="L988" i="55"/>
  <c r="L987" i="55" s="1"/>
  <c r="U987" i="55"/>
  <c r="V532" i="55"/>
  <c r="O532" i="55"/>
  <c r="V531" i="55"/>
  <c r="O531" i="55"/>
  <c r="AA531" i="55" s="1"/>
  <c r="V530" i="55"/>
  <c r="O530" i="55"/>
  <c r="V529" i="55"/>
  <c r="O529" i="55"/>
  <c r="Y528" i="55"/>
  <c r="V528" i="55"/>
  <c r="O528" i="55"/>
  <c r="U527" i="55"/>
  <c r="T527" i="55"/>
  <c r="T526" i="55" s="1"/>
  <c r="S527" i="55"/>
  <c r="S526" i="55" s="1"/>
  <c r="R527" i="55"/>
  <c r="Q527" i="55"/>
  <c r="Q526" i="55" s="1"/>
  <c r="P527" i="55"/>
  <c r="N527" i="55"/>
  <c r="N526" i="55" s="1"/>
  <c r="M527" i="55"/>
  <c r="M526" i="55" s="1"/>
  <c r="L527" i="55"/>
  <c r="L526" i="55" s="1"/>
  <c r="U526" i="55"/>
  <c r="R526" i="55"/>
  <c r="P526" i="55"/>
  <c r="V525" i="55"/>
  <c r="O525" i="55"/>
  <c r="V524" i="55"/>
  <c r="O524" i="55"/>
  <c r="M524" i="55"/>
  <c r="Z523" i="55"/>
  <c r="X523" i="55"/>
  <c r="V523" i="55"/>
  <c r="O523" i="55"/>
  <c r="AA522" i="55"/>
  <c r="V522" i="55"/>
  <c r="O522" i="55"/>
  <c r="V521" i="55"/>
  <c r="O521" i="55"/>
  <c r="U520" i="55"/>
  <c r="T520" i="55"/>
  <c r="S520" i="55"/>
  <c r="S519" i="55" s="1"/>
  <c r="R520" i="55"/>
  <c r="R519" i="55" s="1"/>
  <c r="Q520" i="55"/>
  <c r="Q519" i="55" s="1"/>
  <c r="P520" i="55"/>
  <c r="P519" i="55" s="1"/>
  <c r="N520" i="55"/>
  <c r="N519" i="55" s="1"/>
  <c r="M520" i="55"/>
  <c r="L520" i="55"/>
  <c r="L519" i="55" s="1"/>
  <c r="U519" i="55"/>
  <c r="M519" i="55"/>
  <c r="X518" i="55"/>
  <c r="V518" i="55"/>
  <c r="O518" i="55"/>
  <c r="V517" i="55"/>
  <c r="O517" i="55"/>
  <c r="U516" i="55"/>
  <c r="V516" i="55" s="1"/>
  <c r="T516" i="55"/>
  <c r="S516" i="55"/>
  <c r="R516" i="55"/>
  <c r="Q516" i="55"/>
  <c r="P516" i="55"/>
  <c r="N516" i="55"/>
  <c r="N511" i="55" s="1"/>
  <c r="M516" i="55"/>
  <c r="L516" i="55"/>
  <c r="V515" i="55"/>
  <c r="O515" i="55"/>
  <c r="V514" i="55"/>
  <c r="O514" i="55"/>
  <c r="Z514" i="55" s="1"/>
  <c r="AA513" i="55"/>
  <c r="Z513" i="55"/>
  <c r="Y513" i="55"/>
  <c r="V513" i="55"/>
  <c r="P513" i="55"/>
  <c r="X513" i="55" s="1"/>
  <c r="O513" i="55"/>
  <c r="U512" i="55"/>
  <c r="T512" i="55"/>
  <c r="S512" i="55"/>
  <c r="S511" i="55" s="1"/>
  <c r="R512" i="55"/>
  <c r="R511" i="55" s="1"/>
  <c r="Q512" i="55"/>
  <c r="Q511" i="55" s="1"/>
  <c r="P512" i="55"/>
  <c r="P511" i="55" s="1"/>
  <c r="N512" i="55"/>
  <c r="M512" i="55"/>
  <c r="M511" i="55" s="1"/>
  <c r="L512" i="55"/>
  <c r="L511" i="55" s="1"/>
  <c r="V510" i="55"/>
  <c r="O510" i="55"/>
  <c r="Y509" i="55"/>
  <c r="V509" i="55"/>
  <c r="O509" i="55"/>
  <c r="U508" i="55"/>
  <c r="T508" i="55"/>
  <c r="S508" i="55"/>
  <c r="R508" i="55"/>
  <c r="Q508" i="55"/>
  <c r="P508" i="55"/>
  <c r="N508" i="55"/>
  <c r="M508" i="55"/>
  <c r="L508" i="55"/>
  <c r="V507" i="55"/>
  <c r="O507" i="55"/>
  <c r="X507" i="55" s="1"/>
  <c r="Z506" i="55"/>
  <c r="X506" i="55"/>
  <c r="V506" i="55"/>
  <c r="O506" i="55"/>
  <c r="AA506" i="55" s="1"/>
  <c r="V505" i="55"/>
  <c r="O505" i="55"/>
  <c r="V504" i="55"/>
  <c r="O504" i="55"/>
  <c r="V503" i="55"/>
  <c r="O503" i="55"/>
  <c r="X503" i="55" s="1"/>
  <c r="Z502" i="55"/>
  <c r="Y502" i="55"/>
  <c r="X502" i="55"/>
  <c r="V502" i="55"/>
  <c r="O502" i="55"/>
  <c r="AA502" i="55" s="1"/>
  <c r="V501" i="55"/>
  <c r="O501" i="55"/>
  <c r="V500" i="55"/>
  <c r="O500" i="55"/>
  <c r="Z500" i="55" s="1"/>
  <c r="Z499" i="55"/>
  <c r="Y499" i="55"/>
  <c r="V499" i="55"/>
  <c r="O499" i="55"/>
  <c r="X499" i="55" s="1"/>
  <c r="Z498" i="55"/>
  <c r="V498" i="55"/>
  <c r="O498" i="55"/>
  <c r="V497" i="55"/>
  <c r="O497" i="55"/>
  <c r="V496" i="55"/>
  <c r="O496" i="55"/>
  <c r="Z496" i="55" s="1"/>
  <c r="Z495" i="55"/>
  <c r="Y495" i="55"/>
  <c r="V495" i="55"/>
  <c r="O495" i="55"/>
  <c r="X495" i="55" s="1"/>
  <c r="X494" i="55"/>
  <c r="V494" i="55"/>
  <c r="O494" i="55"/>
  <c r="V493" i="55"/>
  <c r="O493" i="55"/>
  <c r="X493" i="55" s="1"/>
  <c r="AA492" i="55"/>
  <c r="V492" i="55"/>
  <c r="O492" i="55"/>
  <c r="V491" i="55"/>
  <c r="O491" i="55"/>
  <c r="V490" i="55"/>
  <c r="O490" i="55"/>
  <c r="V489" i="55"/>
  <c r="O489" i="55"/>
  <c r="X489" i="55" s="1"/>
  <c r="AA488" i="55"/>
  <c r="V488" i="55"/>
  <c r="O488" i="55"/>
  <c r="Y487" i="55"/>
  <c r="V487" i="55"/>
  <c r="O487" i="55"/>
  <c r="X487" i="55" s="1"/>
  <c r="Y486" i="55"/>
  <c r="X486" i="55"/>
  <c r="V486" i="55"/>
  <c r="O486" i="55"/>
  <c r="V485" i="55"/>
  <c r="O485" i="55"/>
  <c r="V484" i="55"/>
  <c r="O484" i="55"/>
  <c r="Z483" i="55"/>
  <c r="Y483" i="55"/>
  <c r="V483" i="55"/>
  <c r="O483" i="55"/>
  <c r="X483" i="55" s="1"/>
  <c r="Z482" i="55"/>
  <c r="Y482" i="55"/>
  <c r="X482" i="55"/>
  <c r="V482" i="55"/>
  <c r="O482" i="55"/>
  <c r="AA482" i="55" s="1"/>
  <c r="V481" i="55"/>
  <c r="O481" i="55"/>
  <c r="V480" i="55"/>
  <c r="O480" i="55"/>
  <c r="AA480" i="55" s="1"/>
  <c r="V479" i="55"/>
  <c r="O479" i="55"/>
  <c r="Z478" i="55"/>
  <c r="Y478" i="55"/>
  <c r="X478" i="55"/>
  <c r="V478" i="55"/>
  <c r="O478" i="55"/>
  <c r="AA478" i="55" s="1"/>
  <c r="V477" i="55"/>
  <c r="O477" i="55"/>
  <c r="X477" i="55" s="1"/>
  <c r="U476" i="55"/>
  <c r="T476" i="55"/>
  <c r="S476" i="55"/>
  <c r="R476" i="55"/>
  <c r="Q476" i="55"/>
  <c r="P476" i="55"/>
  <c r="N476" i="55"/>
  <c r="M476" i="55"/>
  <c r="L476" i="55"/>
  <c r="Z475" i="55"/>
  <c r="X475" i="55"/>
  <c r="V475" i="55"/>
  <c r="O475" i="55"/>
  <c r="Y475" i="55" s="1"/>
  <c r="AA474" i="55"/>
  <c r="Y474" i="55"/>
  <c r="X474" i="55"/>
  <c r="V474" i="55"/>
  <c r="O474" i="55"/>
  <c r="Z474" i="55" s="1"/>
  <c r="V473" i="55"/>
  <c r="O473" i="55"/>
  <c r="Y473" i="55" s="1"/>
  <c r="V472" i="55"/>
  <c r="O472" i="55"/>
  <c r="AA472" i="55" s="1"/>
  <c r="X471" i="55"/>
  <c r="V471" i="55"/>
  <c r="O471" i="55"/>
  <c r="V470" i="55"/>
  <c r="O470" i="55"/>
  <c r="Y469" i="55"/>
  <c r="V469" i="55"/>
  <c r="O469" i="55"/>
  <c r="Y468" i="55"/>
  <c r="V468" i="55"/>
  <c r="O468" i="55"/>
  <c r="AA468" i="55" s="1"/>
  <c r="V467" i="55"/>
  <c r="O467" i="55"/>
  <c r="V466" i="55"/>
  <c r="O466" i="55"/>
  <c r="Z466" i="55" s="1"/>
  <c r="V465" i="55"/>
  <c r="O465" i="55"/>
  <c r="Y465" i="55" s="1"/>
  <c r="V464" i="55"/>
  <c r="O464" i="55"/>
  <c r="AA464" i="55" s="1"/>
  <c r="AA463" i="55"/>
  <c r="Z463" i="55"/>
  <c r="X463" i="55"/>
  <c r="V463" i="55"/>
  <c r="O463" i="55"/>
  <c r="Y463" i="55" s="1"/>
  <c r="AA462" i="55"/>
  <c r="Y462" i="55"/>
  <c r="X462" i="55"/>
  <c r="V462" i="55"/>
  <c r="O462" i="55"/>
  <c r="Z462" i="55" s="1"/>
  <c r="V461" i="55"/>
  <c r="O461" i="55"/>
  <c r="Y461" i="55" s="1"/>
  <c r="Y460" i="55"/>
  <c r="V460" i="55"/>
  <c r="O460" i="55"/>
  <c r="AA460" i="55" s="1"/>
  <c r="AA459" i="55"/>
  <c r="Z459" i="55"/>
  <c r="X459" i="55"/>
  <c r="V459" i="55"/>
  <c r="O459" i="55"/>
  <c r="Y459" i="55" s="1"/>
  <c r="V458" i="55"/>
  <c r="O458" i="55"/>
  <c r="V457" i="55"/>
  <c r="O457" i="55"/>
  <c r="Y456" i="55"/>
  <c r="V456" i="55"/>
  <c r="O456" i="55"/>
  <c r="AA456" i="55" s="1"/>
  <c r="AA455" i="55"/>
  <c r="Z455" i="55"/>
  <c r="V455" i="55"/>
  <c r="O455" i="55"/>
  <c r="Y455" i="55" s="1"/>
  <c r="Y454" i="55"/>
  <c r="X454" i="55"/>
  <c r="V454" i="55"/>
  <c r="O454" i="55"/>
  <c r="Z454" i="55" s="1"/>
  <c r="V453" i="55"/>
  <c r="O453" i="55"/>
  <c r="Y452" i="55"/>
  <c r="V452" i="55"/>
  <c r="O452" i="55"/>
  <c r="AA452" i="55" s="1"/>
  <c r="X451" i="55"/>
  <c r="V451" i="55"/>
  <c r="O451" i="55"/>
  <c r="V450" i="55"/>
  <c r="O450" i="55"/>
  <c r="V449" i="55"/>
  <c r="O449" i="55"/>
  <c r="V448" i="55"/>
  <c r="O448" i="55"/>
  <c r="AA447" i="55"/>
  <c r="Z447" i="55"/>
  <c r="V447" i="55"/>
  <c r="O447" i="55"/>
  <c r="Y447" i="55" s="1"/>
  <c r="AA446" i="55"/>
  <c r="Y446" i="55"/>
  <c r="X446" i="55"/>
  <c r="V446" i="55"/>
  <c r="O446" i="55"/>
  <c r="Z446" i="55" s="1"/>
  <c r="V445" i="55"/>
  <c r="O445" i="55"/>
  <c r="U444" i="55"/>
  <c r="T444" i="55"/>
  <c r="S444" i="55"/>
  <c r="R444" i="55"/>
  <c r="Q444" i="55"/>
  <c r="P444" i="55"/>
  <c r="N444" i="55"/>
  <c r="M444" i="55"/>
  <c r="L444" i="55"/>
  <c r="V443" i="55"/>
  <c r="O443" i="55"/>
  <c r="AA443" i="55" s="1"/>
  <c r="Z442" i="55"/>
  <c r="Y442" i="55"/>
  <c r="V442" i="55"/>
  <c r="O442" i="55"/>
  <c r="X442" i="55" s="1"/>
  <c r="Z441" i="55"/>
  <c r="X441" i="55"/>
  <c r="V441" i="55"/>
  <c r="O441" i="55"/>
  <c r="AA441" i="55" s="1"/>
  <c r="V440" i="55"/>
  <c r="O440" i="55"/>
  <c r="V439" i="55"/>
  <c r="O439" i="55"/>
  <c r="Z438" i="55"/>
  <c r="Y438" i="55"/>
  <c r="V438" i="55"/>
  <c r="O438" i="55"/>
  <c r="X438" i="55" s="1"/>
  <c r="Z437" i="55"/>
  <c r="X437" i="55"/>
  <c r="V437" i="55"/>
  <c r="O437" i="55"/>
  <c r="AA437" i="55" s="1"/>
  <c r="V436" i="55"/>
  <c r="O436" i="55"/>
  <c r="V435" i="55"/>
  <c r="O435" i="55"/>
  <c r="AA435" i="55" s="1"/>
  <c r="Z434" i="55"/>
  <c r="Y434" i="55"/>
  <c r="V434" i="55"/>
  <c r="O434" i="55"/>
  <c r="X434" i="55" s="1"/>
  <c r="Z433" i="55"/>
  <c r="X433" i="55"/>
  <c r="V433" i="55"/>
  <c r="O433" i="55"/>
  <c r="AA433" i="55" s="1"/>
  <c r="V432" i="55"/>
  <c r="O432" i="55"/>
  <c r="X432" i="55" s="1"/>
  <c r="AA431" i="55"/>
  <c r="V431" i="55"/>
  <c r="O431" i="55"/>
  <c r="Z430" i="55"/>
  <c r="Y430" i="55"/>
  <c r="V430" i="55"/>
  <c r="O430" i="55"/>
  <c r="X430" i="55" s="1"/>
  <c r="Z429" i="55"/>
  <c r="X429" i="55"/>
  <c r="V429" i="55"/>
  <c r="O429" i="55"/>
  <c r="AA429" i="55" s="1"/>
  <c r="V428" i="55"/>
  <c r="O428" i="55"/>
  <c r="V427" i="55"/>
  <c r="O427" i="55"/>
  <c r="AA427" i="55" s="1"/>
  <c r="Z426" i="55"/>
  <c r="V426" i="55"/>
  <c r="O426" i="55"/>
  <c r="X426" i="55" s="1"/>
  <c r="V425" i="55"/>
  <c r="O425" i="55"/>
  <c r="V424" i="55"/>
  <c r="O424" i="55"/>
  <c r="V423" i="55"/>
  <c r="O423" i="55"/>
  <c r="Z422" i="55"/>
  <c r="Y422" i="55"/>
  <c r="V422" i="55"/>
  <c r="O422" i="55"/>
  <c r="X422" i="55" s="1"/>
  <c r="V421" i="55"/>
  <c r="O421" i="55"/>
  <c r="V420" i="55"/>
  <c r="O420" i="55"/>
  <c r="AA419" i="55"/>
  <c r="V419" i="55"/>
  <c r="O419" i="55"/>
  <c r="Z418" i="55"/>
  <c r="Y418" i="55"/>
  <c r="V418" i="55"/>
  <c r="O418" i="55"/>
  <c r="X418" i="55" s="1"/>
  <c r="V417" i="55"/>
  <c r="O417" i="55"/>
  <c r="X416" i="55"/>
  <c r="V416" i="55"/>
  <c r="O416" i="55"/>
  <c r="AA415" i="55"/>
  <c r="V415" i="55"/>
  <c r="O415" i="55"/>
  <c r="Z414" i="55"/>
  <c r="Y414" i="55"/>
  <c r="V414" i="55"/>
  <c r="O414" i="55"/>
  <c r="X414" i="55" s="1"/>
  <c r="X413" i="55"/>
  <c r="V413" i="55"/>
  <c r="O413" i="55"/>
  <c r="AA413" i="55" s="1"/>
  <c r="V412" i="55"/>
  <c r="O412" i="55"/>
  <c r="U411" i="55"/>
  <c r="V411" i="55" s="1"/>
  <c r="T411" i="55"/>
  <c r="S411" i="55"/>
  <c r="R411" i="55"/>
  <c r="Q411" i="55"/>
  <c r="P411" i="55"/>
  <c r="N411" i="55"/>
  <c r="M411" i="55"/>
  <c r="L411" i="55"/>
  <c r="V410" i="55"/>
  <c r="N410" i="55"/>
  <c r="N408" i="55" s="1"/>
  <c r="V409" i="55"/>
  <c r="O409" i="55"/>
  <c r="AA409" i="55" s="1"/>
  <c r="U408" i="55"/>
  <c r="T408" i="55"/>
  <c r="S408" i="55"/>
  <c r="R408" i="55"/>
  <c r="Q408" i="55"/>
  <c r="P408" i="55"/>
  <c r="X407" i="55"/>
  <c r="V407" i="55"/>
  <c r="O407" i="55"/>
  <c r="Y406" i="55"/>
  <c r="V406" i="55"/>
  <c r="O406" i="55"/>
  <c r="Y405" i="55"/>
  <c r="V405" i="55"/>
  <c r="O405" i="55"/>
  <c r="AA405" i="55" s="1"/>
  <c r="V404" i="55"/>
  <c r="O404" i="55"/>
  <c r="V403" i="55"/>
  <c r="O403" i="55"/>
  <c r="AA403" i="55" s="1"/>
  <c r="U402" i="55"/>
  <c r="T402" i="55"/>
  <c r="S402" i="55"/>
  <c r="R402" i="55"/>
  <c r="Q402" i="55"/>
  <c r="P402" i="55"/>
  <c r="N402" i="55"/>
  <c r="M402" i="55"/>
  <c r="L402" i="55"/>
  <c r="V401" i="55"/>
  <c r="O401" i="55"/>
  <c r="AA400" i="55"/>
  <c r="V400" i="55"/>
  <c r="Q400" i="55"/>
  <c r="Y400" i="55" s="1"/>
  <c r="O400" i="55"/>
  <c r="Z400" i="55" s="1"/>
  <c r="U399" i="55"/>
  <c r="T399" i="55"/>
  <c r="V399" i="55" s="1"/>
  <c r="S399" i="55"/>
  <c r="R399" i="55"/>
  <c r="Q399" i="55"/>
  <c r="P399" i="55"/>
  <c r="N399" i="55"/>
  <c r="M399" i="55"/>
  <c r="L399" i="55"/>
  <c r="Z398" i="55"/>
  <c r="Y398" i="55"/>
  <c r="V398" i="55"/>
  <c r="O398" i="55"/>
  <c r="X398" i="55" s="1"/>
  <c r="Z397" i="55"/>
  <c r="V397" i="55"/>
  <c r="O397" i="55"/>
  <c r="U396" i="55"/>
  <c r="T396" i="55"/>
  <c r="S396" i="55"/>
  <c r="R396" i="55"/>
  <c r="Q396" i="55"/>
  <c r="P396" i="55"/>
  <c r="N396" i="55"/>
  <c r="M396" i="55"/>
  <c r="L396" i="55"/>
  <c r="AA395" i="55"/>
  <c r="Y395" i="55"/>
  <c r="V395" i="55"/>
  <c r="O395" i="55"/>
  <c r="Z395" i="55" s="1"/>
  <c r="AA394" i="55"/>
  <c r="Y394" i="55"/>
  <c r="V394" i="55"/>
  <c r="O394" i="55"/>
  <c r="V393" i="55"/>
  <c r="O393" i="55"/>
  <c r="U392" i="55"/>
  <c r="V392" i="55" s="1"/>
  <c r="T392" i="55"/>
  <c r="S392" i="55"/>
  <c r="R392" i="55"/>
  <c r="Q392" i="55"/>
  <c r="P392" i="55"/>
  <c r="N392" i="55"/>
  <c r="M392" i="55"/>
  <c r="L392" i="55"/>
  <c r="V391" i="55"/>
  <c r="O391" i="55"/>
  <c r="X391" i="55" s="1"/>
  <c r="AA390" i="55"/>
  <c r="Z390" i="55"/>
  <c r="V390" i="55"/>
  <c r="O390" i="55"/>
  <c r="U389" i="55"/>
  <c r="T389" i="55"/>
  <c r="S389" i="55"/>
  <c r="R389" i="55"/>
  <c r="Q389" i="55"/>
  <c r="P389" i="55"/>
  <c r="N389" i="55"/>
  <c r="N385" i="55" s="1"/>
  <c r="N384" i="55" s="1"/>
  <c r="M389" i="55"/>
  <c r="M385" i="55" s="1"/>
  <c r="M384" i="55" s="1"/>
  <c r="L389" i="55"/>
  <c r="AA388" i="55"/>
  <c r="Y388" i="55"/>
  <c r="V388" i="55"/>
  <c r="O388" i="55"/>
  <c r="Z388" i="55" s="1"/>
  <c r="V387" i="55"/>
  <c r="O387" i="55"/>
  <c r="U386" i="55"/>
  <c r="T386" i="55"/>
  <c r="S386" i="55"/>
  <c r="R386" i="55"/>
  <c r="Q386" i="55"/>
  <c r="P386" i="55"/>
  <c r="O386" i="55"/>
  <c r="N386" i="55"/>
  <c r="M386" i="55"/>
  <c r="L386" i="55"/>
  <c r="V383" i="55"/>
  <c r="O383" i="55"/>
  <c r="AA383" i="55" s="1"/>
  <c r="AA382" i="55"/>
  <c r="X382" i="55"/>
  <c r="V382" i="55"/>
  <c r="O382" i="55"/>
  <c r="Y382" i="55" s="1"/>
  <c r="V381" i="55"/>
  <c r="O381" i="55"/>
  <c r="V380" i="55"/>
  <c r="O380" i="55"/>
  <c r="Y379" i="55"/>
  <c r="V379" i="55"/>
  <c r="O379" i="55"/>
  <c r="AA379" i="55" s="1"/>
  <c r="Z378" i="55"/>
  <c r="V378" i="55"/>
  <c r="O378" i="55"/>
  <c r="U377" i="55"/>
  <c r="T377" i="55"/>
  <c r="T376" i="55" s="1"/>
  <c r="S377" i="55"/>
  <c r="R377" i="55"/>
  <c r="R376" i="55" s="1"/>
  <c r="Q377" i="55"/>
  <c r="P377" i="55"/>
  <c r="P376" i="55" s="1"/>
  <c r="N377" i="55"/>
  <c r="N376" i="55" s="1"/>
  <c r="M377" i="55"/>
  <c r="M376" i="55" s="1"/>
  <c r="L377" i="55"/>
  <c r="L376" i="55" s="1"/>
  <c r="V375" i="55"/>
  <c r="O375" i="55"/>
  <c r="Z374" i="55"/>
  <c r="X374" i="55"/>
  <c r="V374" i="55"/>
  <c r="O374" i="55"/>
  <c r="AA374" i="55" s="1"/>
  <c r="AA373" i="55"/>
  <c r="V373" i="55"/>
  <c r="O373" i="55"/>
  <c r="Y373" i="55" s="1"/>
  <c r="V372" i="55"/>
  <c r="O372" i="55"/>
  <c r="AA371" i="55"/>
  <c r="Z371" i="55"/>
  <c r="V371" i="55"/>
  <c r="O371" i="55"/>
  <c r="Y371" i="55" s="1"/>
  <c r="U370" i="55"/>
  <c r="T370" i="55"/>
  <c r="S370" i="55"/>
  <c r="R370" i="55"/>
  <c r="Q370" i="55"/>
  <c r="P370" i="55"/>
  <c r="N370" i="55"/>
  <c r="N369" i="55" s="1"/>
  <c r="M370" i="55"/>
  <c r="M369" i="55" s="1"/>
  <c r="L370" i="55"/>
  <c r="R369" i="55"/>
  <c r="V368" i="55"/>
  <c r="O368" i="55"/>
  <c r="Y367" i="55"/>
  <c r="V367" i="55"/>
  <c r="O367" i="55"/>
  <c r="AA367" i="55" s="1"/>
  <c r="U366" i="55"/>
  <c r="V366" i="55" s="1"/>
  <c r="T366" i="55"/>
  <c r="S366" i="55"/>
  <c r="AA366" i="55" s="1"/>
  <c r="R366" i="55"/>
  <c r="Q366" i="55"/>
  <c r="P366" i="55"/>
  <c r="X366" i="55" s="1"/>
  <c r="O366" i="55"/>
  <c r="N366" i="55"/>
  <c r="M366" i="55"/>
  <c r="L366" i="55"/>
  <c r="V365" i="55"/>
  <c r="O365" i="55"/>
  <c r="X364" i="55"/>
  <c r="V364" i="55"/>
  <c r="O364" i="55"/>
  <c r="Z364" i="55" s="1"/>
  <c r="Z363" i="55"/>
  <c r="V363" i="55"/>
  <c r="O363" i="55"/>
  <c r="U362" i="55"/>
  <c r="T362" i="55"/>
  <c r="S362" i="55"/>
  <c r="R362" i="55"/>
  <c r="Q362" i="55"/>
  <c r="P362" i="55"/>
  <c r="N362" i="55"/>
  <c r="M362" i="55"/>
  <c r="L362" i="55"/>
  <c r="Z361" i="55"/>
  <c r="V361" i="55"/>
  <c r="O361" i="55"/>
  <c r="Y361" i="55" s="1"/>
  <c r="Y360" i="55"/>
  <c r="V360" i="55"/>
  <c r="O360" i="55"/>
  <c r="V359" i="55"/>
  <c r="O359" i="55"/>
  <c r="U358" i="55"/>
  <c r="T358" i="55"/>
  <c r="S358" i="55"/>
  <c r="R358" i="55"/>
  <c r="Q358" i="55"/>
  <c r="P358" i="55"/>
  <c r="N358" i="55"/>
  <c r="M358" i="55"/>
  <c r="L358" i="55"/>
  <c r="V357" i="55"/>
  <c r="O357" i="55"/>
  <c r="AA356" i="55"/>
  <c r="Z356" i="55"/>
  <c r="Y356" i="55"/>
  <c r="V356" i="55"/>
  <c r="O356" i="55"/>
  <c r="X356" i="55" s="1"/>
  <c r="U355" i="55"/>
  <c r="T355" i="55"/>
  <c r="S355" i="55"/>
  <c r="R355" i="55"/>
  <c r="Q355" i="55"/>
  <c r="P355" i="55"/>
  <c r="O355" i="55"/>
  <c r="N355" i="55"/>
  <c r="M355" i="55"/>
  <c r="L355" i="55"/>
  <c r="V354" i="55"/>
  <c r="O354" i="55"/>
  <c r="V353" i="55"/>
  <c r="O353" i="55"/>
  <c r="AA353" i="55" s="1"/>
  <c r="U352" i="55"/>
  <c r="U351" i="55" s="1"/>
  <c r="V350" i="55"/>
  <c r="O350" i="55"/>
  <c r="V349" i="55"/>
  <c r="O349" i="55"/>
  <c r="Z348" i="55"/>
  <c r="X348" i="55"/>
  <c r="V348" i="55"/>
  <c r="O348" i="55"/>
  <c r="AA348" i="55" s="1"/>
  <c r="AA347" i="55"/>
  <c r="V347" i="55"/>
  <c r="O347" i="55"/>
  <c r="Y347" i="55" s="1"/>
  <c r="X346" i="55"/>
  <c r="V346" i="55"/>
  <c r="O346" i="55"/>
  <c r="AA345" i="55"/>
  <c r="V345" i="55"/>
  <c r="O345" i="55"/>
  <c r="Y345" i="55" s="1"/>
  <c r="V344" i="55"/>
  <c r="O344" i="55"/>
  <c r="Z343" i="55"/>
  <c r="V343" i="55"/>
  <c r="O343" i="55"/>
  <c r="Y343" i="55" s="1"/>
  <c r="V342" i="55"/>
  <c r="O342" i="55"/>
  <c r="V341" i="55"/>
  <c r="O341" i="55"/>
  <c r="Z340" i="55"/>
  <c r="X340" i="55"/>
  <c r="V340" i="55"/>
  <c r="O340" i="55"/>
  <c r="AA340" i="55" s="1"/>
  <c r="AA339" i="55"/>
  <c r="X339" i="55"/>
  <c r="V339" i="55"/>
  <c r="O339" i="55"/>
  <c r="Y339" i="55" s="1"/>
  <c r="V338" i="55"/>
  <c r="O338" i="55"/>
  <c r="AA338" i="55" s="1"/>
  <c r="AA337" i="55"/>
  <c r="Z337" i="55"/>
  <c r="V337" i="55"/>
  <c r="O337" i="55"/>
  <c r="Y337" i="55" s="1"/>
  <c r="V336" i="55"/>
  <c r="O336" i="55"/>
  <c r="V335" i="55"/>
  <c r="O335" i="55"/>
  <c r="V334" i="55"/>
  <c r="O334" i="55"/>
  <c r="V333" i="55"/>
  <c r="O333" i="55"/>
  <c r="Z332" i="55"/>
  <c r="V332" i="55"/>
  <c r="O332" i="55"/>
  <c r="AA332" i="55" s="1"/>
  <c r="V331" i="55"/>
  <c r="O331" i="55"/>
  <c r="X330" i="55"/>
  <c r="V330" i="55"/>
  <c r="O330" i="55"/>
  <c r="AA330" i="55" s="1"/>
  <c r="Z329" i="55"/>
  <c r="V329" i="55"/>
  <c r="O329" i="55"/>
  <c r="Y329" i="55" s="1"/>
  <c r="V328" i="55"/>
  <c r="O328" i="55"/>
  <c r="AA327" i="55"/>
  <c r="Y327" i="55"/>
  <c r="X327" i="55"/>
  <c r="V327" i="55"/>
  <c r="O327" i="55"/>
  <c r="R327" i="55" s="1"/>
  <c r="Z327" i="55" s="1"/>
  <c r="AA326" i="55"/>
  <c r="V326" i="55"/>
  <c r="O326" i="55"/>
  <c r="V325" i="55"/>
  <c r="O325" i="55"/>
  <c r="V324" i="55"/>
  <c r="O324" i="55"/>
  <c r="AA323" i="55"/>
  <c r="Z323" i="55"/>
  <c r="Y323" i="55"/>
  <c r="X323" i="55"/>
  <c r="V323" i="55"/>
  <c r="Y322" i="55"/>
  <c r="X322" i="55"/>
  <c r="V322" i="55"/>
  <c r="O322" i="55"/>
  <c r="V321" i="55"/>
  <c r="O321" i="55"/>
  <c r="AA320" i="55"/>
  <c r="Z320" i="55"/>
  <c r="Y320" i="55"/>
  <c r="X320" i="55"/>
  <c r="V320" i="55"/>
  <c r="Y319" i="55"/>
  <c r="V319" i="55"/>
  <c r="O319" i="55"/>
  <c r="X319" i="55" s="1"/>
  <c r="Z318" i="55"/>
  <c r="X318" i="55"/>
  <c r="V318" i="55"/>
  <c r="O318" i="55"/>
  <c r="AA317" i="55"/>
  <c r="V317" i="55"/>
  <c r="O317" i="55"/>
  <c r="U316" i="55"/>
  <c r="V316" i="55" s="1"/>
  <c r="T316" i="55"/>
  <c r="S316" i="55"/>
  <c r="S314" i="55" s="1"/>
  <c r="P316" i="55"/>
  <c r="P314" i="55" s="1"/>
  <c r="N316" i="55"/>
  <c r="N314" i="55" s="1"/>
  <c r="M316" i="55"/>
  <c r="L316" i="55"/>
  <c r="L314" i="55" s="1"/>
  <c r="AA315" i="55"/>
  <c r="Z315" i="55"/>
  <c r="X315" i="55"/>
  <c r="V315" i="55"/>
  <c r="O315" i="55"/>
  <c r="Y315" i="55" s="1"/>
  <c r="U314" i="55"/>
  <c r="V314" i="55" s="1"/>
  <c r="T314" i="55"/>
  <c r="X313" i="55"/>
  <c r="V313" i="55"/>
  <c r="O313" i="55"/>
  <c r="Y313" i="55" s="1"/>
  <c r="AA312" i="55"/>
  <c r="V312" i="55"/>
  <c r="O312" i="55"/>
  <c r="AA311" i="55"/>
  <c r="Y311" i="55"/>
  <c r="V311" i="55"/>
  <c r="O311" i="55"/>
  <c r="Z311" i="55" s="1"/>
  <c r="U310" i="55"/>
  <c r="T310" i="55"/>
  <c r="V310" i="55" s="1"/>
  <c r="S310" i="55"/>
  <c r="R310" i="55"/>
  <c r="Q310" i="55"/>
  <c r="P310" i="55"/>
  <c r="N310" i="55"/>
  <c r="M310" i="55"/>
  <c r="L310" i="55"/>
  <c r="V309" i="55"/>
  <c r="O309" i="55"/>
  <c r="V308" i="55"/>
  <c r="O308" i="55"/>
  <c r="Z307" i="55"/>
  <c r="Y307" i="55"/>
  <c r="X307" i="55"/>
  <c r="V307" i="55"/>
  <c r="O307" i="55"/>
  <c r="AA307" i="55" s="1"/>
  <c r="U306" i="55"/>
  <c r="V306" i="55" s="1"/>
  <c r="T306" i="55"/>
  <c r="S306" i="55"/>
  <c r="R306" i="55"/>
  <c r="Q306" i="55"/>
  <c r="P306" i="55"/>
  <c r="N306" i="55"/>
  <c r="M306" i="55"/>
  <c r="L306" i="55"/>
  <c r="Z305" i="55"/>
  <c r="V305" i="55"/>
  <c r="O305" i="55"/>
  <c r="X305" i="55" s="1"/>
  <c r="X304" i="55"/>
  <c r="V304" i="55"/>
  <c r="O304" i="55"/>
  <c r="V303" i="55"/>
  <c r="O303" i="55"/>
  <c r="AA303" i="55" s="1"/>
  <c r="V302" i="55"/>
  <c r="U302" i="55"/>
  <c r="T302" i="55"/>
  <c r="S302" i="55"/>
  <c r="R302" i="55"/>
  <c r="Q302" i="55"/>
  <c r="P302" i="55"/>
  <c r="N302" i="55"/>
  <c r="M302" i="55"/>
  <c r="L302" i="55"/>
  <c r="AA301" i="55"/>
  <c r="Z301" i="55"/>
  <c r="X301" i="55"/>
  <c r="V301" i="55"/>
  <c r="O301" i="55"/>
  <c r="Y301" i="55" s="1"/>
  <c r="V300" i="55"/>
  <c r="O300" i="55"/>
  <c r="V299" i="55"/>
  <c r="O299" i="55"/>
  <c r="U298" i="55"/>
  <c r="T298" i="55"/>
  <c r="S298" i="55"/>
  <c r="R298" i="55"/>
  <c r="Q298" i="55"/>
  <c r="P298" i="55"/>
  <c r="N298" i="55"/>
  <c r="M298" i="55"/>
  <c r="L298" i="55"/>
  <c r="AA297" i="55"/>
  <c r="V297" i="55"/>
  <c r="O297" i="55"/>
  <c r="Z297" i="55" s="1"/>
  <c r="Z296" i="55"/>
  <c r="Y296" i="55"/>
  <c r="V296" i="55"/>
  <c r="O296" i="55"/>
  <c r="X296" i="55" s="1"/>
  <c r="V295" i="55"/>
  <c r="L295" i="55"/>
  <c r="U294" i="55"/>
  <c r="V294" i="55" s="1"/>
  <c r="T294" i="55"/>
  <c r="S294" i="55"/>
  <c r="R294" i="55"/>
  <c r="Q294" i="55"/>
  <c r="P294" i="55"/>
  <c r="N294" i="55"/>
  <c r="M294" i="55"/>
  <c r="U293" i="55"/>
  <c r="V292" i="55"/>
  <c r="O292" i="55"/>
  <c r="AA291" i="55"/>
  <c r="Z291" i="55"/>
  <c r="X291" i="55"/>
  <c r="V291" i="55"/>
  <c r="O291" i="55"/>
  <c r="Y291" i="55" s="1"/>
  <c r="Y290" i="55"/>
  <c r="V290" i="55"/>
  <c r="O290" i="55"/>
  <c r="X290" i="55" s="1"/>
  <c r="U289" i="55"/>
  <c r="T289" i="55"/>
  <c r="S289" i="55"/>
  <c r="R289" i="55"/>
  <c r="Q289" i="55"/>
  <c r="Q284" i="55" s="1"/>
  <c r="P289" i="55"/>
  <c r="N289" i="55"/>
  <c r="N284" i="55" s="1"/>
  <c r="M289" i="55"/>
  <c r="M284" i="55" s="1"/>
  <c r="L289" i="55"/>
  <c r="V288" i="55"/>
  <c r="O288" i="55"/>
  <c r="V287" i="55"/>
  <c r="O287" i="55"/>
  <c r="V286" i="55"/>
  <c r="O286" i="55"/>
  <c r="U285" i="55"/>
  <c r="T285" i="55"/>
  <c r="T284" i="55" s="1"/>
  <c r="S285" i="55"/>
  <c r="R285" i="55"/>
  <c r="Q285" i="55"/>
  <c r="P285" i="55"/>
  <c r="N285" i="55"/>
  <c r="M285" i="55"/>
  <c r="L285" i="55"/>
  <c r="L284" i="55" s="1"/>
  <c r="S284" i="55"/>
  <c r="P284" i="55"/>
  <c r="AA283" i="55"/>
  <c r="V283" i="55"/>
  <c r="O283" i="55"/>
  <c r="V282" i="55"/>
  <c r="O282" i="55"/>
  <c r="V281" i="55"/>
  <c r="O281" i="55"/>
  <c r="X281" i="55" s="1"/>
  <c r="V280" i="55"/>
  <c r="U280" i="55"/>
  <c r="T280" i="55"/>
  <c r="S280" i="55"/>
  <c r="R280" i="55"/>
  <c r="Q280" i="55"/>
  <c r="P280" i="55"/>
  <c r="N280" i="55"/>
  <c r="M280" i="55"/>
  <c r="M271" i="55" s="1"/>
  <c r="L280" i="55"/>
  <c r="V279" i="55"/>
  <c r="O279" i="55"/>
  <c r="Z278" i="55"/>
  <c r="V278" i="55"/>
  <c r="O278" i="55"/>
  <c r="AA278" i="55" s="1"/>
  <c r="X277" i="55"/>
  <c r="V277" i="55"/>
  <c r="O277" i="55"/>
  <c r="U276" i="55"/>
  <c r="V276" i="55" s="1"/>
  <c r="T276" i="55"/>
  <c r="S276" i="55"/>
  <c r="R276" i="55"/>
  <c r="Q276" i="55"/>
  <c r="P276" i="55"/>
  <c r="N276" i="55"/>
  <c r="M276" i="55"/>
  <c r="L276" i="55"/>
  <c r="AA275" i="55"/>
  <c r="Z275" i="55"/>
  <c r="V275" i="55"/>
  <c r="O275" i="55"/>
  <c r="Y275" i="55" s="1"/>
  <c r="V274" i="55"/>
  <c r="O274" i="55"/>
  <c r="Y273" i="55"/>
  <c r="V273" i="55"/>
  <c r="O273" i="55"/>
  <c r="Z273" i="55" s="1"/>
  <c r="U272" i="55"/>
  <c r="T272" i="55"/>
  <c r="T271" i="55" s="1"/>
  <c r="S272" i="55"/>
  <c r="S271" i="55" s="1"/>
  <c r="R272" i="55"/>
  <c r="Q272" i="55"/>
  <c r="Q271" i="55" s="1"/>
  <c r="P272" i="55"/>
  <c r="N272" i="55"/>
  <c r="N271" i="55" s="1"/>
  <c r="M272" i="55"/>
  <c r="L272" i="55"/>
  <c r="V270" i="55"/>
  <c r="O270" i="55"/>
  <c r="Z270" i="55" s="1"/>
  <c r="V269" i="55"/>
  <c r="O269" i="55"/>
  <c r="AA269" i="55" s="1"/>
  <c r="Y268" i="55"/>
  <c r="V268" i="55"/>
  <c r="O268" i="55"/>
  <c r="Z268" i="55" s="1"/>
  <c r="U267" i="55"/>
  <c r="T267" i="55"/>
  <c r="S267" i="55"/>
  <c r="S262" i="55" s="1"/>
  <c r="R267" i="55"/>
  <c r="Q267" i="55"/>
  <c r="P267" i="55"/>
  <c r="P262" i="55" s="1"/>
  <c r="N267" i="55"/>
  <c r="N262" i="55" s="1"/>
  <c r="M267" i="55"/>
  <c r="L267" i="55"/>
  <c r="V266" i="55"/>
  <c r="O266" i="55"/>
  <c r="V265" i="55"/>
  <c r="O265" i="55"/>
  <c r="X264" i="55"/>
  <c r="V264" i="55"/>
  <c r="O264" i="55"/>
  <c r="AA264" i="55" s="1"/>
  <c r="U263" i="55"/>
  <c r="T263" i="55"/>
  <c r="S263" i="55"/>
  <c r="R263" i="55"/>
  <c r="Q263" i="55"/>
  <c r="P263" i="55"/>
  <c r="N263" i="55"/>
  <c r="M263" i="55"/>
  <c r="M262" i="55" s="1"/>
  <c r="L263" i="55"/>
  <c r="L262" i="55" s="1"/>
  <c r="L253" i="55" s="1"/>
  <c r="T262" i="55"/>
  <c r="T253" i="55" s="1"/>
  <c r="Y261" i="55"/>
  <c r="X261" i="55"/>
  <c r="V261" i="55"/>
  <c r="O261" i="55"/>
  <c r="V260" i="55"/>
  <c r="O260" i="55"/>
  <c r="V259" i="55"/>
  <c r="O259" i="55"/>
  <c r="AA259" i="55" s="1"/>
  <c r="U258" i="55"/>
  <c r="V258" i="55" s="1"/>
  <c r="T258" i="55"/>
  <c r="S258" i="55"/>
  <c r="R258" i="55"/>
  <c r="Q258" i="55"/>
  <c r="P258" i="55"/>
  <c r="N258" i="55"/>
  <c r="M258" i="55"/>
  <c r="L258" i="55"/>
  <c r="V257" i="55"/>
  <c r="O257" i="55"/>
  <c r="X257" i="55" s="1"/>
  <c r="X256" i="55"/>
  <c r="V256" i="55"/>
  <c r="O256" i="55"/>
  <c r="Z256" i="55" s="1"/>
  <c r="V255" i="55"/>
  <c r="O255" i="55"/>
  <c r="U254" i="55"/>
  <c r="V254" i="55" s="1"/>
  <c r="T254" i="55"/>
  <c r="S254" i="55"/>
  <c r="R254" i="55"/>
  <c r="Q254" i="55"/>
  <c r="P254" i="55"/>
  <c r="N254" i="55"/>
  <c r="M254" i="55"/>
  <c r="L254" i="55"/>
  <c r="V251" i="55"/>
  <c r="O251" i="55"/>
  <c r="V250" i="55"/>
  <c r="O250" i="55"/>
  <c r="O248" i="55" s="1"/>
  <c r="X248" i="55" s="1"/>
  <c r="Z249" i="55"/>
  <c r="X249" i="55"/>
  <c r="V249" i="55"/>
  <c r="O249" i="55"/>
  <c r="AA249" i="55" s="1"/>
  <c r="U248" i="55"/>
  <c r="V248" i="55" s="1"/>
  <c r="T248" i="55"/>
  <c r="S248" i="55"/>
  <c r="R248" i="55"/>
  <c r="Q248" i="55"/>
  <c r="P248" i="55"/>
  <c r="N248" i="55"/>
  <c r="M248" i="55"/>
  <c r="L248" i="55"/>
  <c r="Z247" i="55"/>
  <c r="V247" i="55"/>
  <c r="O247" i="55"/>
  <c r="X247" i="55" s="1"/>
  <c r="V246" i="55"/>
  <c r="O246" i="55"/>
  <c r="V245" i="55"/>
  <c r="O245" i="55"/>
  <c r="AA245" i="55" s="1"/>
  <c r="U244" i="55"/>
  <c r="V244" i="55" s="1"/>
  <c r="T244" i="55"/>
  <c r="S244" i="55"/>
  <c r="R244" i="55"/>
  <c r="Q244" i="55"/>
  <c r="P244" i="55"/>
  <c r="N244" i="55"/>
  <c r="N235" i="55" s="1"/>
  <c r="M244" i="55"/>
  <c r="L244" i="55"/>
  <c r="AA243" i="55"/>
  <c r="Z243" i="55"/>
  <c r="X243" i="55"/>
  <c r="V243" i="55"/>
  <c r="O243" i="55"/>
  <c r="Y243" i="55" s="1"/>
  <c r="Y242" i="55"/>
  <c r="V242" i="55"/>
  <c r="O242" i="55"/>
  <c r="V241" i="55"/>
  <c r="O241" i="55"/>
  <c r="U240" i="55"/>
  <c r="T240" i="55"/>
  <c r="S240" i="55"/>
  <c r="R240" i="55"/>
  <c r="Q240" i="55"/>
  <c r="P240" i="55"/>
  <c r="N240" i="55"/>
  <c r="M240" i="55"/>
  <c r="L240" i="55"/>
  <c r="V239" i="55"/>
  <c r="O239" i="55"/>
  <c r="Y238" i="55"/>
  <c r="V238" i="55"/>
  <c r="O238" i="55"/>
  <c r="X238" i="55" s="1"/>
  <c r="AA237" i="55"/>
  <c r="V237" i="55"/>
  <c r="O237" i="55"/>
  <c r="Z237" i="55" s="1"/>
  <c r="U236" i="55"/>
  <c r="T236" i="55"/>
  <c r="S236" i="55"/>
  <c r="R236" i="55"/>
  <c r="Q236" i="55"/>
  <c r="P236" i="55"/>
  <c r="O236" i="55"/>
  <c r="N236" i="55"/>
  <c r="M236" i="55"/>
  <c r="L236" i="55"/>
  <c r="L235" i="55" s="1"/>
  <c r="Z232" i="55"/>
  <c r="Y232" i="55"/>
  <c r="V232" i="55"/>
  <c r="O232" i="55"/>
  <c r="X232" i="55" s="1"/>
  <c r="AA231" i="55"/>
  <c r="X231" i="55"/>
  <c r="V231" i="55"/>
  <c r="O231" i="55"/>
  <c r="Z231" i="55" s="1"/>
  <c r="AA230" i="55"/>
  <c r="V230" i="55"/>
  <c r="O230" i="55"/>
  <c r="U229" i="55"/>
  <c r="V229" i="55" s="1"/>
  <c r="T229" i="55"/>
  <c r="S229" i="55"/>
  <c r="R229" i="55"/>
  <c r="Q229" i="55"/>
  <c r="P229" i="55"/>
  <c r="N229" i="55"/>
  <c r="M229" i="55"/>
  <c r="L229" i="55"/>
  <c r="V228" i="55"/>
  <c r="O228" i="55"/>
  <c r="Y227" i="55"/>
  <c r="V227" i="55"/>
  <c r="O227" i="55"/>
  <c r="V226" i="55"/>
  <c r="O226" i="55"/>
  <c r="U225" i="55"/>
  <c r="T225" i="55"/>
  <c r="S225" i="55"/>
  <c r="R225" i="55"/>
  <c r="Q225" i="55"/>
  <c r="P225" i="55"/>
  <c r="N225" i="55"/>
  <c r="M225" i="55"/>
  <c r="L225" i="55"/>
  <c r="AA224" i="55"/>
  <c r="Y224" i="55"/>
  <c r="V224" i="55"/>
  <c r="O224" i="55"/>
  <c r="Z224" i="55" s="1"/>
  <c r="Z223" i="55"/>
  <c r="Y223" i="55"/>
  <c r="V223" i="55"/>
  <c r="O223" i="55"/>
  <c r="X223" i="55" s="1"/>
  <c r="AA222" i="55"/>
  <c r="V222" i="55"/>
  <c r="O222" i="55"/>
  <c r="Z222" i="55" s="1"/>
  <c r="U221" i="55"/>
  <c r="T221" i="55"/>
  <c r="S221" i="55"/>
  <c r="AA221" i="55" s="1"/>
  <c r="R221" i="55"/>
  <c r="Q221" i="55"/>
  <c r="P221" i="55"/>
  <c r="O221" i="55"/>
  <c r="Y221" i="55" s="1"/>
  <c r="N221" i="55"/>
  <c r="M221" i="55"/>
  <c r="L221" i="55"/>
  <c r="Z220" i="55"/>
  <c r="X220" i="55"/>
  <c r="V220" i="55"/>
  <c r="O220" i="55"/>
  <c r="AA220" i="55" s="1"/>
  <c r="V219" i="55"/>
  <c r="O219" i="55"/>
  <c r="V218" i="55"/>
  <c r="O218" i="55"/>
  <c r="U217" i="55"/>
  <c r="T217" i="55"/>
  <c r="S217" i="55"/>
  <c r="R217" i="55"/>
  <c r="Q217" i="55"/>
  <c r="P217" i="55"/>
  <c r="N217" i="55"/>
  <c r="M217" i="55"/>
  <c r="L217" i="55"/>
  <c r="V216" i="55"/>
  <c r="O216" i="55"/>
  <c r="AA216" i="55" s="1"/>
  <c r="AA215" i="55"/>
  <c r="Y215" i="55"/>
  <c r="V215" i="55"/>
  <c r="O215" i="55"/>
  <c r="Z215" i="55" s="1"/>
  <c r="Z214" i="55"/>
  <c r="Y214" i="55"/>
  <c r="V214" i="55"/>
  <c r="O214" i="55"/>
  <c r="X214" i="55" s="1"/>
  <c r="U213" i="55"/>
  <c r="T213" i="55"/>
  <c r="S213" i="55"/>
  <c r="R213" i="55"/>
  <c r="Q213" i="55"/>
  <c r="P213" i="55"/>
  <c r="N213" i="55"/>
  <c r="N212" i="55" s="1"/>
  <c r="N211" i="55" s="1"/>
  <c r="M213" i="55"/>
  <c r="L213" i="55"/>
  <c r="V210" i="55"/>
  <c r="O210" i="55"/>
  <c r="AA210" i="55" s="1"/>
  <c r="V209" i="55"/>
  <c r="O209" i="55"/>
  <c r="Y209" i="55" s="1"/>
  <c r="V208" i="55"/>
  <c r="O208" i="55"/>
  <c r="U207" i="55"/>
  <c r="V207" i="55" s="1"/>
  <c r="T207" i="55"/>
  <c r="S207" i="55"/>
  <c r="R207" i="55"/>
  <c r="R206" i="55" s="1"/>
  <c r="Q207" i="55"/>
  <c r="P207" i="55"/>
  <c r="N207" i="55"/>
  <c r="N206" i="55" s="1"/>
  <c r="N205" i="55" s="1"/>
  <c r="M207" i="55"/>
  <c r="L207" i="55"/>
  <c r="L206" i="55" s="1"/>
  <c r="L205" i="55" s="1"/>
  <c r="T206" i="55"/>
  <c r="T205" i="55" s="1"/>
  <c r="P206" i="55"/>
  <c r="M206" i="55"/>
  <c r="M205" i="55" s="1"/>
  <c r="Y204" i="55"/>
  <c r="V204" i="55"/>
  <c r="T204" i="55"/>
  <c r="O204" i="55"/>
  <c r="V203" i="55"/>
  <c r="O203" i="55"/>
  <c r="Y203" i="55" s="1"/>
  <c r="V202" i="55"/>
  <c r="O202" i="55"/>
  <c r="V201" i="55"/>
  <c r="O201" i="55"/>
  <c r="U200" i="55"/>
  <c r="T200" i="55"/>
  <c r="T199" i="55" s="1"/>
  <c r="S200" i="55"/>
  <c r="R200" i="55"/>
  <c r="Q200" i="55"/>
  <c r="P200" i="55"/>
  <c r="P199" i="55" s="1"/>
  <c r="N200" i="55"/>
  <c r="N199" i="55" s="1"/>
  <c r="M200" i="55"/>
  <c r="L200" i="55"/>
  <c r="L199" i="55" s="1"/>
  <c r="U199" i="55"/>
  <c r="R199" i="55"/>
  <c r="M199" i="55"/>
  <c r="AA198" i="55"/>
  <c r="Z198" i="55"/>
  <c r="X198" i="55"/>
  <c r="V198" i="55"/>
  <c r="O198" i="55"/>
  <c r="X197" i="55"/>
  <c r="T197" i="55"/>
  <c r="V197" i="55" s="1"/>
  <c r="O197" i="55"/>
  <c r="AA197" i="55" s="1"/>
  <c r="V196" i="55"/>
  <c r="O196" i="55"/>
  <c r="U195" i="55"/>
  <c r="S195" i="55"/>
  <c r="S194" i="55" s="1"/>
  <c r="R195" i="55"/>
  <c r="Q195" i="55"/>
  <c r="Q194" i="55" s="1"/>
  <c r="P195" i="55"/>
  <c r="N195" i="55"/>
  <c r="M195" i="55"/>
  <c r="M194" i="55" s="1"/>
  <c r="L195" i="55"/>
  <c r="L194" i="55" s="1"/>
  <c r="L193" i="55" s="1"/>
  <c r="N194" i="55"/>
  <c r="N193" i="55"/>
  <c r="N192" i="55" s="1"/>
  <c r="V191" i="55"/>
  <c r="O191" i="55"/>
  <c r="Y191" i="55" s="1"/>
  <c r="V190" i="55"/>
  <c r="O190" i="55"/>
  <c r="Z190" i="55" s="1"/>
  <c r="V189" i="55"/>
  <c r="O189" i="55"/>
  <c r="AA189" i="55" s="1"/>
  <c r="U188" i="55"/>
  <c r="T188" i="55"/>
  <c r="S188" i="55"/>
  <c r="R188" i="55"/>
  <c r="Q188" i="55"/>
  <c r="P188" i="55"/>
  <c r="N188" i="55"/>
  <c r="M188" i="55"/>
  <c r="L188" i="55"/>
  <c r="V187" i="55"/>
  <c r="O187" i="55"/>
  <c r="X187" i="55" s="1"/>
  <c r="AA186" i="55"/>
  <c r="X186" i="55"/>
  <c r="V186" i="55"/>
  <c r="O186" i="55"/>
  <c r="Z186" i="55" s="1"/>
  <c r="AA185" i="55"/>
  <c r="V185" i="55"/>
  <c r="O185" i="55"/>
  <c r="U184" i="55"/>
  <c r="V184" i="55" s="1"/>
  <c r="T184" i="55"/>
  <c r="S184" i="55"/>
  <c r="R184" i="55"/>
  <c r="Q184" i="55"/>
  <c r="P184" i="55"/>
  <c r="N184" i="55"/>
  <c r="M184" i="55"/>
  <c r="L184" i="55"/>
  <c r="V183" i="55"/>
  <c r="O183" i="55"/>
  <c r="Y183" i="55" s="1"/>
  <c r="V182" i="55"/>
  <c r="O182" i="55"/>
  <c r="V181" i="55"/>
  <c r="O181" i="55"/>
  <c r="U180" i="55"/>
  <c r="T180" i="55"/>
  <c r="S180" i="55"/>
  <c r="R180" i="55"/>
  <c r="Q180" i="55"/>
  <c r="P180" i="55"/>
  <c r="N180" i="55"/>
  <c r="M180" i="55"/>
  <c r="L180" i="55"/>
  <c r="X179" i="55"/>
  <c r="V179" i="55"/>
  <c r="O179" i="55"/>
  <c r="Z179" i="55" s="1"/>
  <c r="Z178" i="55"/>
  <c r="V178" i="55"/>
  <c r="O178" i="55"/>
  <c r="X178" i="55" s="1"/>
  <c r="V177" i="55"/>
  <c r="O177" i="55"/>
  <c r="Z177" i="55" s="1"/>
  <c r="U176" i="55"/>
  <c r="T176" i="55"/>
  <c r="S176" i="55"/>
  <c r="R176" i="55"/>
  <c r="Q176" i="55"/>
  <c r="P176" i="55"/>
  <c r="N176" i="55"/>
  <c r="M176" i="55"/>
  <c r="L176" i="55"/>
  <c r="Y175" i="55"/>
  <c r="V175" i="55"/>
  <c r="O175" i="55"/>
  <c r="AA175" i="55" s="1"/>
  <c r="Z174" i="55"/>
  <c r="X174" i="55"/>
  <c r="V174" i="55"/>
  <c r="O174" i="55"/>
  <c r="Y174" i="55" s="1"/>
  <c r="X173" i="55"/>
  <c r="V173" i="55"/>
  <c r="O173" i="55"/>
  <c r="Y173" i="55" s="1"/>
  <c r="V172" i="55"/>
  <c r="U172" i="55"/>
  <c r="T172" i="55"/>
  <c r="S172" i="55"/>
  <c r="R172" i="55"/>
  <c r="Q172" i="55"/>
  <c r="P172" i="55"/>
  <c r="N172" i="55"/>
  <c r="M172" i="55"/>
  <c r="L172" i="55"/>
  <c r="V171" i="55"/>
  <c r="O171" i="55"/>
  <c r="AA171" i="55" s="1"/>
  <c r="AA170" i="55"/>
  <c r="Y170" i="55"/>
  <c r="V170" i="55"/>
  <c r="O170" i="55"/>
  <c r="Z170" i="55" s="1"/>
  <c r="V169" i="55"/>
  <c r="O169" i="55"/>
  <c r="X169" i="55" s="1"/>
  <c r="U168" i="55"/>
  <c r="T168" i="55"/>
  <c r="V168" i="55" s="1"/>
  <c r="S168" i="55"/>
  <c r="R168" i="55"/>
  <c r="Q168" i="55"/>
  <c r="P168" i="55"/>
  <c r="N168" i="55"/>
  <c r="M168" i="55"/>
  <c r="L168" i="55"/>
  <c r="Z167" i="55"/>
  <c r="V167" i="55"/>
  <c r="O167" i="55"/>
  <c r="Z166" i="55"/>
  <c r="V166" i="55"/>
  <c r="O166" i="55"/>
  <c r="AA166" i="55" s="1"/>
  <c r="V165" i="55"/>
  <c r="O165" i="55"/>
  <c r="Y165" i="55" s="1"/>
  <c r="U164" i="55"/>
  <c r="V164" i="55" s="1"/>
  <c r="T164" i="55"/>
  <c r="S164" i="55"/>
  <c r="R164" i="55"/>
  <c r="Q164" i="55"/>
  <c r="P164" i="55"/>
  <c r="N164" i="55"/>
  <c r="M164" i="55"/>
  <c r="L164" i="55"/>
  <c r="X163" i="55"/>
  <c r="V163" i="55"/>
  <c r="O163" i="55"/>
  <c r="Z163" i="55" s="1"/>
  <c r="AA162" i="55"/>
  <c r="V162" i="55"/>
  <c r="O162" i="55"/>
  <c r="Y162" i="55" s="1"/>
  <c r="AA161" i="55"/>
  <c r="Y161" i="55"/>
  <c r="V161" i="55"/>
  <c r="O161" i="55"/>
  <c r="Z161" i="55" s="1"/>
  <c r="U160" i="55"/>
  <c r="T160" i="55"/>
  <c r="V160" i="55" s="1"/>
  <c r="S160" i="55"/>
  <c r="R160" i="55"/>
  <c r="Q160" i="55"/>
  <c r="P160" i="55"/>
  <c r="N160" i="55"/>
  <c r="M160" i="55"/>
  <c r="L160" i="55"/>
  <c r="V159" i="55"/>
  <c r="O159" i="55"/>
  <c r="Y159" i="55" s="1"/>
  <c r="Z158" i="55"/>
  <c r="V158" i="55"/>
  <c r="O158" i="55"/>
  <c r="AA157" i="55"/>
  <c r="Z157" i="55"/>
  <c r="X157" i="55"/>
  <c r="V157" i="55"/>
  <c r="O157" i="55"/>
  <c r="Y157" i="55" s="1"/>
  <c r="U156" i="55"/>
  <c r="T156" i="55"/>
  <c r="S156" i="55"/>
  <c r="AA156" i="55" s="1"/>
  <c r="R156" i="55"/>
  <c r="Z156" i="55" s="1"/>
  <c r="Q156" i="55"/>
  <c r="P156" i="55"/>
  <c r="O156" i="55"/>
  <c r="N156" i="55"/>
  <c r="M156" i="55"/>
  <c r="L156" i="55"/>
  <c r="V155" i="55"/>
  <c r="O155" i="55"/>
  <c r="X155" i="55" s="1"/>
  <c r="V154" i="55"/>
  <c r="O154" i="55"/>
  <c r="Z154" i="55" s="1"/>
  <c r="U153" i="55"/>
  <c r="V153" i="55" s="1"/>
  <c r="T153" i="55"/>
  <c r="S153" i="55"/>
  <c r="R153" i="55"/>
  <c r="Q153" i="55"/>
  <c r="P153" i="55"/>
  <c r="N153" i="55"/>
  <c r="M153" i="55"/>
  <c r="L153" i="55"/>
  <c r="AA151" i="55"/>
  <c r="Z151" i="55"/>
  <c r="Y151" i="55"/>
  <c r="X151" i="55"/>
  <c r="V151" i="55"/>
  <c r="O151" i="55"/>
  <c r="V150" i="55"/>
  <c r="O150" i="55"/>
  <c r="X150" i="55" s="1"/>
  <c r="X149" i="55"/>
  <c r="V149" i="55"/>
  <c r="O149" i="55"/>
  <c r="Z149" i="55" s="1"/>
  <c r="U148" i="55"/>
  <c r="V148" i="55" s="1"/>
  <c r="T148" i="55"/>
  <c r="S148" i="55"/>
  <c r="R148" i="55"/>
  <c r="Q148" i="55"/>
  <c r="P148" i="55"/>
  <c r="N148" i="55"/>
  <c r="M148" i="55"/>
  <c r="L148" i="55"/>
  <c r="Z147" i="55"/>
  <c r="Y147" i="55"/>
  <c r="X147" i="55"/>
  <c r="V147" i="55"/>
  <c r="O147" i="55"/>
  <c r="AA147" i="55" s="1"/>
  <c r="Z146" i="55"/>
  <c r="V146" i="55"/>
  <c r="O146" i="55"/>
  <c r="Y146" i="55" s="1"/>
  <c r="V145" i="55"/>
  <c r="O145" i="55"/>
  <c r="P145" i="55" s="1"/>
  <c r="U144" i="55"/>
  <c r="V144" i="55" s="1"/>
  <c r="T144" i="55"/>
  <c r="S144" i="55"/>
  <c r="R144" i="55"/>
  <c r="Q144" i="55"/>
  <c r="N144" i="55"/>
  <c r="M144" i="55"/>
  <c r="L144" i="55"/>
  <c r="V143" i="55"/>
  <c r="O143" i="55"/>
  <c r="AA143" i="55" s="1"/>
  <c r="X142" i="55"/>
  <c r="V142" i="55"/>
  <c r="O142" i="55"/>
  <c r="AA142" i="55" s="1"/>
  <c r="Z141" i="55"/>
  <c r="V141" i="55"/>
  <c r="O141" i="55"/>
  <c r="Y141" i="55" s="1"/>
  <c r="U140" i="55"/>
  <c r="V140" i="55" s="1"/>
  <c r="T140" i="55"/>
  <c r="S140" i="55"/>
  <c r="R140" i="55"/>
  <c r="Q140" i="55"/>
  <c r="P140" i="55"/>
  <c r="O140" i="55"/>
  <c r="Z140" i="55" s="1"/>
  <c r="N140" i="55"/>
  <c r="M140" i="55"/>
  <c r="L140" i="55"/>
  <c r="V139" i="55"/>
  <c r="O139" i="55"/>
  <c r="Z139" i="55" s="1"/>
  <c r="Y138" i="55"/>
  <c r="V138" i="55"/>
  <c r="O138" i="55"/>
  <c r="O136" i="55" s="1"/>
  <c r="AA137" i="55"/>
  <c r="Z137" i="55"/>
  <c r="Y137" i="55"/>
  <c r="X137" i="55"/>
  <c r="V137" i="55"/>
  <c r="O137" i="55"/>
  <c r="U136" i="55"/>
  <c r="V136" i="55" s="1"/>
  <c r="T136" i="55"/>
  <c r="S136" i="55"/>
  <c r="R136" i="55"/>
  <c r="Q136" i="55"/>
  <c r="P136" i="55"/>
  <c r="X136" i="55" s="1"/>
  <c r="N136" i="55"/>
  <c r="M136" i="55"/>
  <c r="L136" i="55"/>
  <c r="Y135" i="55"/>
  <c r="V135" i="55"/>
  <c r="O135" i="55"/>
  <c r="AA135" i="55" s="1"/>
  <c r="V134" i="55"/>
  <c r="O134" i="55"/>
  <c r="V133" i="55"/>
  <c r="O133" i="55"/>
  <c r="AA133" i="55" s="1"/>
  <c r="U132" i="55"/>
  <c r="V132" i="55" s="1"/>
  <c r="T132" i="55"/>
  <c r="S132" i="55"/>
  <c r="R132" i="55"/>
  <c r="Q132" i="55"/>
  <c r="P132" i="55"/>
  <c r="N132" i="55"/>
  <c r="M132" i="55"/>
  <c r="L132" i="55"/>
  <c r="Y131" i="55"/>
  <c r="V131" i="55"/>
  <c r="O131" i="55"/>
  <c r="X131" i="55" s="1"/>
  <c r="AA130" i="55"/>
  <c r="V130" i="55"/>
  <c r="O130" i="55"/>
  <c r="Z130" i="55" s="1"/>
  <c r="V129" i="55"/>
  <c r="O129" i="55"/>
  <c r="AA129" i="55" s="1"/>
  <c r="U128" i="55"/>
  <c r="T128" i="55"/>
  <c r="V128" i="55" s="1"/>
  <c r="S128" i="55"/>
  <c r="R128" i="55"/>
  <c r="Q128" i="55"/>
  <c r="P128" i="55"/>
  <c r="N128" i="55"/>
  <c r="M128" i="55"/>
  <c r="L128" i="55"/>
  <c r="V127" i="55"/>
  <c r="O127" i="55"/>
  <c r="Y127" i="55" s="1"/>
  <c r="X126" i="55"/>
  <c r="V126" i="55"/>
  <c r="O126" i="55"/>
  <c r="AA126" i="55" s="1"/>
  <c r="V125" i="55"/>
  <c r="O125" i="55"/>
  <c r="AA125" i="55" s="1"/>
  <c r="U124" i="55"/>
  <c r="T124" i="55"/>
  <c r="S124" i="55"/>
  <c r="R124" i="55"/>
  <c r="Q124" i="55"/>
  <c r="P124" i="55"/>
  <c r="N124" i="55"/>
  <c r="M124" i="55"/>
  <c r="L124" i="55"/>
  <c r="AA123" i="55"/>
  <c r="Y123" i="55"/>
  <c r="V123" i="55"/>
  <c r="O123" i="55"/>
  <c r="Z123" i="55" s="1"/>
  <c r="V122" i="55"/>
  <c r="O122" i="55"/>
  <c r="X122" i="55" s="1"/>
  <c r="X121" i="55"/>
  <c r="V121" i="55"/>
  <c r="O121" i="55"/>
  <c r="Z121" i="55" s="1"/>
  <c r="U120" i="55"/>
  <c r="V120" i="55" s="1"/>
  <c r="T120" i="55"/>
  <c r="S120" i="55"/>
  <c r="R120" i="55"/>
  <c r="Q120" i="55"/>
  <c r="P120" i="55"/>
  <c r="N120" i="55"/>
  <c r="M120" i="55"/>
  <c r="L120" i="55"/>
  <c r="Z119" i="55"/>
  <c r="Y119" i="55"/>
  <c r="X119" i="55"/>
  <c r="V119" i="55"/>
  <c r="O119" i="55"/>
  <c r="AA119" i="55" s="1"/>
  <c r="Z118" i="55"/>
  <c r="V118" i="55"/>
  <c r="O118" i="55"/>
  <c r="Y118" i="55" s="1"/>
  <c r="X117" i="55"/>
  <c r="V117" i="55"/>
  <c r="O117" i="55"/>
  <c r="AA117" i="55" s="1"/>
  <c r="U116" i="55"/>
  <c r="V116" i="55" s="1"/>
  <c r="T116" i="55"/>
  <c r="S116" i="55"/>
  <c r="R116" i="55"/>
  <c r="Q116" i="55"/>
  <c r="P116" i="55"/>
  <c r="N116" i="55"/>
  <c r="M116" i="55"/>
  <c r="L116" i="55"/>
  <c r="Y115" i="55"/>
  <c r="V115" i="55"/>
  <c r="O115" i="55"/>
  <c r="AA115" i="55" s="1"/>
  <c r="AA114" i="55"/>
  <c r="Y114" i="55"/>
  <c r="X114" i="55"/>
  <c r="V114" i="55"/>
  <c r="O114" i="55"/>
  <c r="Z114" i="55" s="1"/>
  <c r="V113" i="55"/>
  <c r="O113" i="55"/>
  <c r="X113" i="55" s="1"/>
  <c r="U112" i="55"/>
  <c r="T112" i="55"/>
  <c r="V112" i="55" s="1"/>
  <c r="S112" i="55"/>
  <c r="R112" i="55"/>
  <c r="Q112" i="55"/>
  <c r="P112" i="55"/>
  <c r="N112" i="55"/>
  <c r="M112" i="55"/>
  <c r="L112" i="55"/>
  <c r="V111" i="55"/>
  <c r="O111" i="55"/>
  <c r="AA111" i="55" s="1"/>
  <c r="Y110" i="55"/>
  <c r="V110" i="55"/>
  <c r="O110" i="55"/>
  <c r="AA110" i="55" s="1"/>
  <c r="V109" i="55"/>
  <c r="O109" i="55"/>
  <c r="Y109" i="55" s="1"/>
  <c r="U108" i="55"/>
  <c r="T108" i="55"/>
  <c r="S108" i="55"/>
  <c r="R108" i="55"/>
  <c r="Q108" i="55"/>
  <c r="P108" i="55"/>
  <c r="N108" i="55"/>
  <c r="N107" i="55" s="1"/>
  <c r="M108" i="55"/>
  <c r="L108" i="55"/>
  <c r="O105" i="55"/>
  <c r="AA105" i="55" s="1"/>
  <c r="O104" i="55"/>
  <c r="AA104" i="55" s="1"/>
  <c r="R103" i="55"/>
  <c r="Z103" i="55" s="1"/>
  <c r="O103" i="55"/>
  <c r="AA103" i="55" s="1"/>
  <c r="Z102" i="55"/>
  <c r="Y102" i="55"/>
  <c r="O102" i="55"/>
  <c r="X102" i="55" s="1"/>
  <c r="U101" i="55"/>
  <c r="T101" i="55"/>
  <c r="S101" i="55"/>
  <c r="P101" i="55"/>
  <c r="N101" i="55"/>
  <c r="M101" i="55"/>
  <c r="L101" i="55"/>
  <c r="Y100" i="55"/>
  <c r="V100" i="55"/>
  <c r="O100" i="55"/>
  <c r="AA100" i="55" s="1"/>
  <c r="AA99" i="55"/>
  <c r="V99" i="55"/>
  <c r="O99" i="55"/>
  <c r="Y99" i="55" s="1"/>
  <c r="V98" i="55"/>
  <c r="O98" i="55"/>
  <c r="Y98" i="55" s="1"/>
  <c r="V97" i="55"/>
  <c r="U97" i="55"/>
  <c r="T97" i="55"/>
  <c r="S97" i="55"/>
  <c r="Q97" i="55"/>
  <c r="N97" i="55"/>
  <c r="M97" i="55"/>
  <c r="L97" i="55"/>
  <c r="Z96" i="55"/>
  <c r="V96" i="55"/>
  <c r="O96" i="55"/>
  <c r="Y96" i="55" s="1"/>
  <c r="X95" i="55"/>
  <c r="V95" i="55"/>
  <c r="O95" i="55"/>
  <c r="AA95" i="55" s="1"/>
  <c r="V94" i="55"/>
  <c r="O94" i="55"/>
  <c r="AA94" i="55" s="1"/>
  <c r="U93" i="55"/>
  <c r="V93" i="55" s="1"/>
  <c r="T93" i="55"/>
  <c r="S93" i="55"/>
  <c r="R93" i="55"/>
  <c r="Q93" i="55"/>
  <c r="P93" i="55"/>
  <c r="N93" i="55"/>
  <c r="M93" i="55"/>
  <c r="M80" i="55" s="1"/>
  <c r="M79" i="55" s="1"/>
  <c r="L93" i="55"/>
  <c r="Y92" i="55"/>
  <c r="V92" i="55"/>
  <c r="O92" i="55"/>
  <c r="Z92" i="55" s="1"/>
  <c r="Z91" i="55"/>
  <c r="Y91" i="55"/>
  <c r="V91" i="55"/>
  <c r="O91" i="55"/>
  <c r="X91" i="55" s="1"/>
  <c r="X90" i="55"/>
  <c r="V90" i="55"/>
  <c r="O90" i="55"/>
  <c r="Z90" i="55" s="1"/>
  <c r="U89" i="55"/>
  <c r="V89" i="55" s="1"/>
  <c r="T89" i="55"/>
  <c r="S89" i="55"/>
  <c r="R89" i="55"/>
  <c r="Q89" i="55"/>
  <c r="P89" i="55"/>
  <c r="N89" i="55"/>
  <c r="M89" i="55"/>
  <c r="L89" i="55"/>
  <c r="V88" i="55"/>
  <c r="O88" i="55"/>
  <c r="AA88" i="55" s="1"/>
  <c r="Z87" i="55"/>
  <c r="V87" i="55"/>
  <c r="O87" i="55"/>
  <c r="Y87" i="55" s="1"/>
  <c r="V86" i="55"/>
  <c r="O86" i="55"/>
  <c r="AA86" i="55" s="1"/>
  <c r="U85" i="55"/>
  <c r="V85" i="55" s="1"/>
  <c r="T85" i="55"/>
  <c r="S85" i="55"/>
  <c r="R85" i="55"/>
  <c r="Q85" i="55"/>
  <c r="P85" i="55"/>
  <c r="N85" i="55"/>
  <c r="M85" i="55"/>
  <c r="L85" i="55"/>
  <c r="V84" i="55"/>
  <c r="O84" i="55"/>
  <c r="AA84" i="55" s="1"/>
  <c r="V83" i="55"/>
  <c r="O83" i="55"/>
  <c r="Z83" i="55" s="1"/>
  <c r="Z82" i="55"/>
  <c r="Y82" i="55"/>
  <c r="V82" i="55"/>
  <c r="O82" i="55"/>
  <c r="X82" i="55" s="1"/>
  <c r="U81" i="55"/>
  <c r="U80" i="55" s="1"/>
  <c r="T81" i="55"/>
  <c r="S81" i="55"/>
  <c r="R81" i="55"/>
  <c r="Q81" i="55"/>
  <c r="Y81" i="55" s="1"/>
  <c r="P81" i="55"/>
  <c r="O81" i="55"/>
  <c r="N81" i="55"/>
  <c r="M81" i="55"/>
  <c r="L81" i="55"/>
  <c r="V78" i="55"/>
  <c r="O78" i="55"/>
  <c r="AA78" i="55" s="1"/>
  <c r="Z77" i="55"/>
  <c r="V77" i="55"/>
  <c r="O77" i="55"/>
  <c r="Y77" i="55" s="1"/>
  <c r="X76" i="55"/>
  <c r="V76" i="55"/>
  <c r="O76" i="55"/>
  <c r="R76" i="55" s="1"/>
  <c r="U75" i="55"/>
  <c r="T75" i="55"/>
  <c r="S75" i="55"/>
  <c r="P75" i="55"/>
  <c r="O75" i="55"/>
  <c r="X75" i="55" s="1"/>
  <c r="N75" i="55"/>
  <c r="M75" i="55"/>
  <c r="L75" i="55"/>
  <c r="AA74" i="55"/>
  <c r="X74" i="55"/>
  <c r="V74" i="55"/>
  <c r="O74" i="55"/>
  <c r="Z74" i="55" s="1"/>
  <c r="V73" i="55"/>
  <c r="O73" i="55"/>
  <c r="AA73" i="55" s="1"/>
  <c r="Y72" i="55"/>
  <c r="V72" i="55"/>
  <c r="O72" i="55"/>
  <c r="Z72" i="55" s="1"/>
  <c r="U71" i="55"/>
  <c r="V71" i="55" s="1"/>
  <c r="T71" i="55"/>
  <c r="S71" i="55"/>
  <c r="R71" i="55"/>
  <c r="Q71" i="55"/>
  <c r="P71" i="55"/>
  <c r="X71" i="55" s="1"/>
  <c r="O71" i="55"/>
  <c r="N71" i="55"/>
  <c r="M71" i="55"/>
  <c r="L71" i="55"/>
  <c r="V70" i="55"/>
  <c r="O70" i="55"/>
  <c r="Z70" i="55" s="1"/>
  <c r="V69" i="55"/>
  <c r="O69" i="55"/>
  <c r="X69" i="55" s="1"/>
  <c r="X68" i="55"/>
  <c r="V68" i="55"/>
  <c r="O68" i="55"/>
  <c r="AA68" i="55" s="1"/>
  <c r="U67" i="55"/>
  <c r="T67" i="55"/>
  <c r="S67" i="55"/>
  <c r="AA67" i="55" s="1"/>
  <c r="R67" i="55"/>
  <c r="Z67" i="55" s="1"/>
  <c r="P67" i="55"/>
  <c r="O67" i="55"/>
  <c r="X67" i="55" s="1"/>
  <c r="N67" i="55"/>
  <c r="M67" i="55"/>
  <c r="L67" i="55"/>
  <c r="V66" i="55"/>
  <c r="O66" i="55"/>
  <c r="Y66" i="55" s="1"/>
  <c r="V65" i="55"/>
  <c r="O65" i="55"/>
  <c r="X65" i="55" s="1"/>
  <c r="V64" i="55"/>
  <c r="O64" i="55"/>
  <c r="AA64" i="55" s="1"/>
  <c r="V63" i="55"/>
  <c r="U63" i="55"/>
  <c r="T63" i="55"/>
  <c r="S63" i="55"/>
  <c r="R63" i="55"/>
  <c r="Q63" i="55"/>
  <c r="P63" i="55"/>
  <c r="O63" i="55"/>
  <c r="N63" i="55"/>
  <c r="M63" i="55"/>
  <c r="L63" i="55"/>
  <c r="V62" i="55"/>
  <c r="O62" i="55"/>
  <c r="O61" i="55"/>
  <c r="V60" i="55"/>
  <c r="O60" i="55"/>
  <c r="X60" i="55" s="1"/>
  <c r="U59" i="55"/>
  <c r="S59" i="55"/>
  <c r="R59" i="55"/>
  <c r="P59" i="55"/>
  <c r="N59" i="55"/>
  <c r="M59" i="55"/>
  <c r="L59" i="55"/>
  <c r="AA58" i="55"/>
  <c r="Z58" i="55"/>
  <c r="V58" i="55"/>
  <c r="O58" i="55"/>
  <c r="Y58" i="55" s="1"/>
  <c r="T57" i="55"/>
  <c r="V57" i="55" s="1"/>
  <c r="O57" i="55"/>
  <c r="AA57" i="55" s="1"/>
  <c r="V56" i="55"/>
  <c r="O56" i="55"/>
  <c r="U55" i="55"/>
  <c r="S55" i="55"/>
  <c r="R55" i="55"/>
  <c r="Q55" i="55"/>
  <c r="P55" i="55"/>
  <c r="N55" i="55"/>
  <c r="M55" i="55"/>
  <c r="L55" i="55"/>
  <c r="AA54" i="55"/>
  <c r="Z54" i="55"/>
  <c r="Y54" i="55"/>
  <c r="V54" i="55"/>
  <c r="O54" i="55"/>
  <c r="X54" i="55" s="1"/>
  <c r="V53" i="55"/>
  <c r="O53" i="55"/>
  <c r="Y53" i="55" s="1"/>
  <c r="Z52" i="55"/>
  <c r="Y52" i="55"/>
  <c r="X52" i="55"/>
  <c r="V52" i="55"/>
  <c r="R52" i="55"/>
  <c r="R51" i="55" s="1"/>
  <c r="O52" i="55"/>
  <c r="AA52" i="55" s="1"/>
  <c r="U51" i="55"/>
  <c r="V51" i="55" s="1"/>
  <c r="T51" i="55"/>
  <c r="S51" i="55"/>
  <c r="Q51" i="55"/>
  <c r="P51" i="55"/>
  <c r="O51" i="55"/>
  <c r="Y51" i="55" s="1"/>
  <c r="N51" i="55"/>
  <c r="M51" i="55"/>
  <c r="L51" i="55"/>
  <c r="L38" i="55" s="1"/>
  <c r="V50" i="55"/>
  <c r="O50" i="55"/>
  <c r="T49" i="55"/>
  <c r="V49" i="55" s="1"/>
  <c r="O49" i="55"/>
  <c r="X49" i="55" s="1"/>
  <c r="AA48" i="55"/>
  <c r="V48" i="55"/>
  <c r="O48" i="55"/>
  <c r="R48" i="55" s="1"/>
  <c r="Z48" i="55" s="1"/>
  <c r="U47" i="55"/>
  <c r="T47" i="55"/>
  <c r="S47" i="55"/>
  <c r="R47" i="55"/>
  <c r="P47" i="55"/>
  <c r="N47" i="55"/>
  <c r="M47" i="55"/>
  <c r="L47" i="55"/>
  <c r="V46" i="55"/>
  <c r="O46" i="55"/>
  <c r="Y46" i="55" s="1"/>
  <c r="Z45" i="55"/>
  <c r="Y45" i="55"/>
  <c r="V45" i="55"/>
  <c r="R45" i="55"/>
  <c r="O45" i="55"/>
  <c r="AA45" i="55" s="1"/>
  <c r="V44" i="55"/>
  <c r="O44" i="55"/>
  <c r="R44" i="55" s="1"/>
  <c r="U43" i="55"/>
  <c r="V43" i="55" s="1"/>
  <c r="T43" i="55"/>
  <c r="P43" i="55"/>
  <c r="O43" i="55"/>
  <c r="N43" i="55"/>
  <c r="M43" i="55"/>
  <c r="L43" i="55"/>
  <c r="Z42" i="55"/>
  <c r="Y42" i="55"/>
  <c r="X42" i="55"/>
  <c r="V42" i="55"/>
  <c r="O42" i="55"/>
  <c r="AA42" i="55" s="1"/>
  <c r="V41" i="55"/>
  <c r="O41" i="55"/>
  <c r="V40" i="55"/>
  <c r="O40" i="55"/>
  <c r="X40" i="55" s="1"/>
  <c r="AA39" i="55"/>
  <c r="U39" i="55"/>
  <c r="V39" i="55" s="1"/>
  <c r="T39" i="55"/>
  <c r="S39" i="55"/>
  <c r="R39" i="55"/>
  <c r="Z39" i="55" s="1"/>
  <c r="Q39" i="55"/>
  <c r="Y39" i="55" s="1"/>
  <c r="P39" i="55"/>
  <c r="O39" i="55"/>
  <c r="N39" i="55"/>
  <c r="M39" i="55"/>
  <c r="L39" i="55"/>
  <c r="Y37" i="55"/>
  <c r="X37" i="55"/>
  <c r="V37" i="55"/>
  <c r="O37" i="55"/>
  <c r="AA37" i="55" s="1"/>
  <c r="V36" i="55"/>
  <c r="R36" i="55"/>
  <c r="Z36" i="55" s="1"/>
  <c r="P36" i="55"/>
  <c r="X36" i="55" s="1"/>
  <c r="O36" i="55"/>
  <c r="Q36" i="55" s="1"/>
  <c r="Y36" i="55" s="1"/>
  <c r="V35" i="55"/>
  <c r="O35" i="55"/>
  <c r="AA35" i="55" s="1"/>
  <c r="U34" i="55"/>
  <c r="T34" i="55"/>
  <c r="S34" i="55"/>
  <c r="R34" i="55"/>
  <c r="Q34" i="55"/>
  <c r="P34" i="55"/>
  <c r="O34" i="55"/>
  <c r="N34" i="55"/>
  <c r="M34" i="55"/>
  <c r="L34" i="55"/>
  <c r="V33" i="55"/>
  <c r="O33" i="55"/>
  <c r="Z33" i="55" s="1"/>
  <c r="AA32" i="55"/>
  <c r="Z32" i="55"/>
  <c r="Q32" i="55"/>
  <c r="O32" i="55"/>
  <c r="X32" i="55" s="1"/>
  <c r="V31" i="55"/>
  <c r="Q31" i="55"/>
  <c r="O31" i="55"/>
  <c r="X31" i="55" s="1"/>
  <c r="U30" i="55"/>
  <c r="S30" i="55"/>
  <c r="S29" i="55" s="1"/>
  <c r="S28" i="55" s="1"/>
  <c r="S27" i="55" s="1"/>
  <c r="P30" i="55"/>
  <c r="N30" i="55"/>
  <c r="N29" i="55" s="1"/>
  <c r="N28" i="55" s="1"/>
  <c r="N27" i="55" s="1"/>
  <c r="M30" i="55"/>
  <c r="L30" i="55"/>
  <c r="L29" i="55"/>
  <c r="L28" i="55" s="1"/>
  <c r="L27" i="55" s="1"/>
  <c r="AA25" i="55"/>
  <c r="Z25" i="55"/>
  <c r="Y25" i="55"/>
  <c r="X25" i="55"/>
  <c r="Z24" i="55"/>
  <c r="Y24" i="55"/>
  <c r="X24" i="55"/>
  <c r="V24" i="55"/>
  <c r="O24" i="55"/>
  <c r="AA24" i="55" s="1"/>
  <c r="X23" i="55"/>
  <c r="V23" i="55"/>
  <c r="O23" i="55"/>
  <c r="AA23" i="55" s="1"/>
  <c r="V22" i="55"/>
  <c r="O22" i="55"/>
  <c r="AA22" i="55" s="1"/>
  <c r="Z21" i="55"/>
  <c r="U21" i="55"/>
  <c r="T21" i="55"/>
  <c r="S21" i="55"/>
  <c r="AA21" i="55" s="1"/>
  <c r="R21" i="55"/>
  <c r="Q21" i="55"/>
  <c r="P21" i="55"/>
  <c r="O21" i="55"/>
  <c r="N21" i="55"/>
  <c r="M21" i="55"/>
  <c r="L21" i="55"/>
  <c r="V20" i="55"/>
  <c r="O20" i="55"/>
  <c r="X20" i="55" s="1"/>
  <c r="AA19" i="55"/>
  <c r="Y19" i="55"/>
  <c r="V19" i="55"/>
  <c r="O19" i="55"/>
  <c r="Z19" i="55" s="1"/>
  <c r="O18" i="55"/>
  <c r="AA18" i="55" s="1"/>
  <c r="U17" i="55"/>
  <c r="V17" i="55" s="1"/>
  <c r="T17" i="55"/>
  <c r="S17" i="55"/>
  <c r="R17" i="55"/>
  <c r="Q17" i="55"/>
  <c r="P17" i="55"/>
  <c r="N17" i="55"/>
  <c r="M17" i="55"/>
  <c r="L17" i="55"/>
  <c r="V16" i="55"/>
  <c r="O16" i="55"/>
  <c r="X16" i="55" s="1"/>
  <c r="V15" i="55"/>
  <c r="O15" i="55"/>
  <c r="Z15" i="55" s="1"/>
  <c r="Z14" i="55"/>
  <c r="V14" i="55"/>
  <c r="S14" i="55"/>
  <c r="S13" i="55" s="1"/>
  <c r="Q14" i="55"/>
  <c r="CM101" i="57" s="1"/>
  <c r="O14" i="55"/>
  <c r="X14" i="55" s="1"/>
  <c r="U13" i="55"/>
  <c r="T13" i="55"/>
  <c r="T12" i="55" s="1"/>
  <c r="T11" i="55" s="1"/>
  <c r="T10" i="55" s="1"/>
  <c r="R13" i="55"/>
  <c r="R12" i="55" s="1"/>
  <c r="P13" i="55"/>
  <c r="P12" i="55" s="1"/>
  <c r="P11" i="55" s="1"/>
  <c r="O13" i="55"/>
  <c r="X13" i="55" s="1"/>
  <c r="N13" i="55"/>
  <c r="N12" i="55" s="1"/>
  <c r="N11" i="55" s="1"/>
  <c r="N10" i="55" s="1"/>
  <c r="M13" i="55"/>
  <c r="L13" i="55"/>
  <c r="L12" i="55" s="1"/>
  <c r="L11" i="55" s="1"/>
  <c r="L10" i="55" s="1"/>
  <c r="EI18" i="57" l="1"/>
  <c r="B77" i="57"/>
  <c r="B16" i="57"/>
  <c r="EI17" i="57"/>
  <c r="T195" i="56"/>
  <c r="AB196" i="56"/>
  <c r="X164" i="55"/>
  <c r="X64" i="55"/>
  <c r="Y33" i="55"/>
  <c r="V47" i="55"/>
  <c r="Z63" i="55"/>
  <c r="Y16" i="55"/>
  <c r="X21" i="55"/>
  <c r="Z34" i="55"/>
  <c r="X44" i="55"/>
  <c r="Z53" i="55"/>
  <c r="AA63" i="55"/>
  <c r="Y65" i="55"/>
  <c r="Y70" i="55"/>
  <c r="N80" i="55"/>
  <c r="N79" i="55" s="1"/>
  <c r="M107" i="55"/>
  <c r="M106" i="55" s="1"/>
  <c r="T152" i="55"/>
  <c r="Y300" i="55"/>
  <c r="X300" i="55"/>
  <c r="Y354" i="55"/>
  <c r="AA354" i="55"/>
  <c r="X354" i="55"/>
  <c r="X386" i="55"/>
  <c r="Y404" i="55"/>
  <c r="AA404" i="55"/>
  <c r="Z404" i="55"/>
  <c r="AA448" i="55"/>
  <c r="Y448" i="55"/>
  <c r="AA490" i="55"/>
  <c r="Z490" i="55"/>
  <c r="Y490" i="55"/>
  <c r="X490" i="55"/>
  <c r="AB52" i="56"/>
  <c r="Q106" i="56"/>
  <c r="AB5" i="57"/>
  <c r="AB4" i="57" s="1"/>
  <c r="AN5" i="57"/>
  <c r="AN4" i="57" s="1"/>
  <c r="AZ5" i="57"/>
  <c r="AZ4" i="57" s="1"/>
  <c r="BL5" i="57"/>
  <c r="BL4" i="57" s="1"/>
  <c r="BX5" i="57"/>
  <c r="BX4" i="57" s="1"/>
  <c r="Y20" i="55"/>
  <c r="V34" i="55"/>
  <c r="X43" i="55"/>
  <c r="AA20" i="55"/>
  <c r="Z46" i="55"/>
  <c r="Y57" i="55"/>
  <c r="AA31" i="55"/>
  <c r="AA46" i="55"/>
  <c r="AA16" i="55"/>
  <c r="Y21" i="55"/>
  <c r="P29" i="55"/>
  <c r="P28" i="55" s="1"/>
  <c r="P27" i="55" s="1"/>
  <c r="AA53" i="55"/>
  <c r="X58" i="55"/>
  <c r="Z65" i="55"/>
  <c r="AA70" i="55"/>
  <c r="Z168" i="55"/>
  <c r="Z125" i="56"/>
  <c r="AA146" i="56"/>
  <c r="Z150" i="56"/>
  <c r="J149" i="56"/>
  <c r="Z149" i="56" s="1"/>
  <c r="EE49" i="57"/>
  <c r="EI49" i="57" s="1"/>
  <c r="EE50" i="57"/>
  <c r="EI50" i="57" s="1"/>
  <c r="CE49" i="57"/>
  <c r="CE45" i="57" s="1"/>
  <c r="B56" i="57"/>
  <c r="B55" i="57" s="1"/>
  <c r="EI57" i="57"/>
  <c r="V21" i="55"/>
  <c r="M38" i="55"/>
  <c r="X53" i="55"/>
  <c r="M12" i="55"/>
  <c r="M11" i="55" s="1"/>
  <c r="M10" i="55" s="1"/>
  <c r="M29" i="55"/>
  <c r="M28" i="55" s="1"/>
  <c r="M27" i="55" s="1"/>
  <c r="Z51" i="55"/>
  <c r="T55" i="55"/>
  <c r="V55" i="55" s="1"/>
  <c r="AA65" i="55"/>
  <c r="X72" i="55"/>
  <c r="X92" i="55"/>
  <c r="O108" i="55"/>
  <c r="Y108" i="55" s="1"/>
  <c r="X110" i="55"/>
  <c r="X156" i="55"/>
  <c r="X166" i="55"/>
  <c r="X175" i="55"/>
  <c r="Z196" i="55"/>
  <c r="AA196" i="55"/>
  <c r="X196" i="55"/>
  <c r="V217" i="55"/>
  <c r="X222" i="55"/>
  <c r="Y228" i="55"/>
  <c r="AA228" i="55"/>
  <c r="Z228" i="55"/>
  <c r="X228" i="55"/>
  <c r="O316" i="55"/>
  <c r="M314" i="55"/>
  <c r="Z345" i="55"/>
  <c r="AA372" i="55"/>
  <c r="Z372" i="55"/>
  <c r="Y372" i="55"/>
  <c r="V508" i="55"/>
  <c r="AA514" i="55"/>
  <c r="Z517" i="55"/>
  <c r="AA517" i="55"/>
  <c r="Y517" i="55"/>
  <c r="X517" i="55"/>
  <c r="O988" i="55"/>
  <c r="M987" i="55"/>
  <c r="O987" i="55" s="1"/>
  <c r="V987" i="55" s="1"/>
  <c r="R26" i="56"/>
  <c r="S106" i="56"/>
  <c r="AA151" i="56"/>
  <c r="K150" i="56"/>
  <c r="K149" i="56" s="1"/>
  <c r="AA149" i="56" s="1"/>
  <c r="EI11" i="57"/>
  <c r="EF49" i="57"/>
  <c r="S83" i="57"/>
  <c r="S82" i="57" s="1"/>
  <c r="AQ83" i="57"/>
  <c r="AQ82" i="57" s="1"/>
  <c r="BO83" i="57"/>
  <c r="BO82" i="57" s="1"/>
  <c r="CM83" i="57"/>
  <c r="CM82" i="57" s="1"/>
  <c r="DK83" i="57"/>
  <c r="DK82" i="57" s="1"/>
  <c r="Z246" i="55"/>
  <c r="AA246" i="55"/>
  <c r="X246" i="55"/>
  <c r="X286" i="55"/>
  <c r="O285" i="55"/>
  <c r="Z285" i="55" s="1"/>
  <c r="CC99" i="57"/>
  <c r="Q14" i="57"/>
  <c r="Q99" i="57" s="1"/>
  <c r="AA72" i="55"/>
  <c r="X78" i="55"/>
  <c r="X83" i="55"/>
  <c r="X88" i="55"/>
  <c r="AA92" i="55"/>
  <c r="X103" i="55"/>
  <c r="Z110" i="55"/>
  <c r="AA121" i="55"/>
  <c r="Y126" i="55"/>
  <c r="Z131" i="55"/>
  <c r="X133" i="55"/>
  <c r="Y142" i="55"/>
  <c r="Y149" i="55"/>
  <c r="S152" i="55"/>
  <c r="X154" i="55"/>
  <c r="Y156" i="55"/>
  <c r="Y171" i="55"/>
  <c r="Z175" i="55"/>
  <c r="Y179" i="55"/>
  <c r="V188" i="55"/>
  <c r="AA209" i="55"/>
  <c r="S212" i="55"/>
  <c r="S211" i="55" s="1"/>
  <c r="Z238" i="55"/>
  <c r="AA292" i="55"/>
  <c r="Z292" i="55"/>
  <c r="Y292" i="55"/>
  <c r="X292" i="55"/>
  <c r="Z313" i="55"/>
  <c r="X338" i="55"/>
  <c r="AA346" i="55"/>
  <c r="Z346" i="55"/>
  <c r="Y346" i="55"/>
  <c r="N352" i="55"/>
  <c r="N351" i="55" s="1"/>
  <c r="Y364" i="55"/>
  <c r="X372" i="55"/>
  <c r="Z393" i="55"/>
  <c r="AA393" i="55"/>
  <c r="Y393" i="55"/>
  <c r="O392" i="55"/>
  <c r="X393" i="55"/>
  <c r="V408" i="55"/>
  <c r="Z450" i="55"/>
  <c r="AA450" i="55"/>
  <c r="Y450" i="55"/>
  <c r="X450" i="55"/>
  <c r="X479" i="55"/>
  <c r="Z479" i="55"/>
  <c r="Y479" i="55"/>
  <c r="AA509" i="55"/>
  <c r="Z509" i="55"/>
  <c r="Y518" i="55"/>
  <c r="AA518" i="55"/>
  <c r="Z518" i="55"/>
  <c r="AA67" i="56"/>
  <c r="K66" i="56"/>
  <c r="K65" i="56" s="1"/>
  <c r="AA65" i="56" s="1"/>
  <c r="J116" i="56"/>
  <c r="Z117" i="56"/>
  <c r="P116" i="56"/>
  <c r="AB116" i="56" s="1"/>
  <c r="AB117" i="56"/>
  <c r="P144" i="56"/>
  <c r="P143" i="56" s="1"/>
  <c r="AB143" i="56" s="1"/>
  <c r="AB145" i="56"/>
  <c r="EI79" i="57"/>
  <c r="EI93" i="57"/>
  <c r="AA75" i="55"/>
  <c r="Y78" i="55"/>
  <c r="S80" i="55"/>
  <c r="Y83" i="55"/>
  <c r="Y88" i="55"/>
  <c r="Y103" i="55"/>
  <c r="Z108" i="55"/>
  <c r="Y133" i="55"/>
  <c r="Z142" i="55"/>
  <c r="AA149" i="55"/>
  <c r="L152" i="55"/>
  <c r="Y154" i="55"/>
  <c r="AA179" i="55"/>
  <c r="Y187" i="55"/>
  <c r="T212" i="55"/>
  <c r="T211" i="55" s="1"/>
  <c r="Y219" i="55"/>
  <c r="Z219" i="55"/>
  <c r="X219" i="55"/>
  <c r="Q235" i="55"/>
  <c r="Y236" i="55"/>
  <c r="Z239" i="55"/>
  <c r="AA239" i="55"/>
  <c r="Y239" i="55"/>
  <c r="X270" i="55"/>
  <c r="Y286" i="55"/>
  <c r="AA313" i="55"/>
  <c r="Y338" i="55"/>
  <c r="Z357" i="55"/>
  <c r="AA357" i="55"/>
  <c r="Y357" i="55"/>
  <c r="AA364" i="55"/>
  <c r="X383" i="55"/>
  <c r="Y503" i="55"/>
  <c r="Y507" i="55"/>
  <c r="P9" i="56"/>
  <c r="V51" i="56"/>
  <c r="Z60" i="56"/>
  <c r="AB67" i="56"/>
  <c r="L66" i="56"/>
  <c r="Z91" i="56"/>
  <c r="J90" i="56"/>
  <c r="J89" i="56" s="1"/>
  <c r="Z89" i="56" s="1"/>
  <c r="AA94" i="56"/>
  <c r="AA104" i="56"/>
  <c r="K103" i="56"/>
  <c r="K102" i="56" s="1"/>
  <c r="AA102" i="56" s="1"/>
  <c r="Y123" i="56"/>
  <c r="I122" i="56"/>
  <c r="EG36" i="57"/>
  <c r="E33" i="57"/>
  <c r="EG77" i="57"/>
  <c r="V83" i="57"/>
  <c r="V82" i="57" s="1"/>
  <c r="Z78" i="55"/>
  <c r="T80" i="55"/>
  <c r="T79" i="55" s="1"/>
  <c r="AA83" i="55"/>
  <c r="Z88" i="55"/>
  <c r="S107" i="55"/>
  <c r="Z133" i="55"/>
  <c r="M152" i="55"/>
  <c r="AA154" i="55"/>
  <c r="Z187" i="55"/>
  <c r="AA270" i="55"/>
  <c r="Z286" i="55"/>
  <c r="Y309" i="55"/>
  <c r="X309" i="55"/>
  <c r="Y335" i="55"/>
  <c r="Z335" i="55"/>
  <c r="Z338" i="55"/>
  <c r="Z383" i="55"/>
  <c r="U385" i="55"/>
  <c r="Z470" i="55"/>
  <c r="AA470" i="55"/>
  <c r="Y470" i="55"/>
  <c r="X470" i="55"/>
  <c r="Z503" i="55"/>
  <c r="Z507" i="55"/>
  <c r="W51" i="56"/>
  <c r="AA60" i="56"/>
  <c r="AA91" i="56"/>
  <c r="K90" i="56"/>
  <c r="Y113" i="56"/>
  <c r="M112" i="56"/>
  <c r="Y112" i="56" s="1"/>
  <c r="J130" i="56"/>
  <c r="J129" i="56" s="1"/>
  <c r="Z131" i="56"/>
  <c r="Z170" i="56"/>
  <c r="Z169" i="56" s="1"/>
  <c r="J169" i="56"/>
  <c r="J168" i="56" s="1"/>
  <c r="Z168" i="56" s="1"/>
  <c r="EG16" i="57"/>
  <c r="I15" i="57"/>
  <c r="I14" i="57" s="1"/>
  <c r="I99" i="57" s="1"/>
  <c r="BP15" i="57"/>
  <c r="Y71" i="55"/>
  <c r="Y73" i="55"/>
  <c r="V75" i="55"/>
  <c r="AA90" i="55"/>
  <c r="Y95" i="55"/>
  <c r="T107" i="55"/>
  <c r="T106" i="55" s="1"/>
  <c r="Y117" i="55"/>
  <c r="Y122" i="55"/>
  <c r="Z127" i="55"/>
  <c r="O132" i="55"/>
  <c r="X132" i="55" s="1"/>
  <c r="AA140" i="55"/>
  <c r="Y145" i="55"/>
  <c r="N152" i="55"/>
  <c r="N106" i="55" s="1"/>
  <c r="N26" i="55" s="1"/>
  <c r="N9" i="55" s="1"/>
  <c r="AA163" i="55"/>
  <c r="X177" i="55"/>
  <c r="X189" i="55"/>
  <c r="M193" i="55"/>
  <c r="Y197" i="55"/>
  <c r="AA203" i="55"/>
  <c r="X210" i="55"/>
  <c r="AA219" i="55"/>
  <c r="AA236" i="55"/>
  <c r="R253" i="55"/>
  <c r="Y257" i="55"/>
  <c r="Z264" i="55"/>
  <c r="Z287" i="55"/>
  <c r="AA287" i="55"/>
  <c r="Y287" i="55"/>
  <c r="M293" i="55"/>
  <c r="Y330" i="55"/>
  <c r="Y355" i="55"/>
  <c r="X357" i="55"/>
  <c r="AA381" i="55"/>
  <c r="Z381" i="55"/>
  <c r="X466" i="55"/>
  <c r="AA496" i="55"/>
  <c r="AA500" i="55"/>
  <c r="Z504" i="55"/>
  <c r="AA504" i="55"/>
  <c r="X531" i="55"/>
  <c r="X51" i="56"/>
  <c r="Z81" i="56"/>
  <c r="J80" i="56"/>
  <c r="J79" i="56" s="1"/>
  <c r="P173" i="56"/>
  <c r="DN15" i="57"/>
  <c r="DZ15" i="57"/>
  <c r="DZ14" i="57" s="1"/>
  <c r="AA15" i="57"/>
  <c r="EE35" i="57"/>
  <c r="EI35" i="57" s="1"/>
  <c r="AM34" i="57"/>
  <c r="EE34" i="57" s="1"/>
  <c r="EI34" i="57" s="1"/>
  <c r="BJ33" i="57"/>
  <c r="BV33" i="57"/>
  <c r="CT33" i="57"/>
  <c r="DF33" i="57"/>
  <c r="ED33" i="57"/>
  <c r="Z71" i="55"/>
  <c r="Q80" i="55"/>
  <c r="V81" i="55"/>
  <c r="X104" i="55"/>
  <c r="V108" i="55"/>
  <c r="Z122" i="55"/>
  <c r="Y129" i="55"/>
  <c r="Y150" i="55"/>
  <c r="P152" i="55"/>
  <c r="V156" i="55"/>
  <c r="Y169" i="55"/>
  <c r="O176" i="55"/>
  <c r="Y176" i="55" s="1"/>
  <c r="AA177" i="55"/>
  <c r="Z189" i="55"/>
  <c r="Z204" i="55"/>
  <c r="AA204" i="55"/>
  <c r="Z210" i="55"/>
  <c r="T235" i="55"/>
  <c r="S253" i="55"/>
  <c r="S252" i="55" s="1"/>
  <c r="Z257" i="55"/>
  <c r="X259" i="55"/>
  <c r="M253" i="55"/>
  <c r="V267" i="55"/>
  <c r="Y281" i="55"/>
  <c r="V298" i="55"/>
  <c r="Y304" i="55"/>
  <c r="AA304" i="55"/>
  <c r="Z304" i="55"/>
  <c r="Z330" i="55"/>
  <c r="X403" i="55"/>
  <c r="AA407" i="55"/>
  <c r="Z407" i="55"/>
  <c r="Y407" i="55"/>
  <c r="Y466" i="55"/>
  <c r="Y471" i="55"/>
  <c r="AA471" i="55"/>
  <c r="Z471" i="55"/>
  <c r="Z522" i="55"/>
  <c r="Y522" i="55"/>
  <c r="X522" i="55"/>
  <c r="Y531" i="55"/>
  <c r="M51" i="56"/>
  <c r="AB54" i="56"/>
  <c r="K79" i="56"/>
  <c r="AA79" i="56" s="1"/>
  <c r="AA80" i="56"/>
  <c r="P129" i="56"/>
  <c r="J163" i="56"/>
  <c r="J162" i="56" s="1"/>
  <c r="Z164" i="56"/>
  <c r="AB170" i="56"/>
  <c r="AB169" i="56" s="1"/>
  <c r="L169" i="56"/>
  <c r="L168" i="56" s="1"/>
  <c r="L167" i="56" s="1"/>
  <c r="L174" i="56"/>
  <c r="AB174" i="56" s="1"/>
  <c r="U271" i="55"/>
  <c r="V271" i="55" s="1"/>
  <c r="V272" i="55"/>
  <c r="Q15" i="55"/>
  <c r="N38" i="55"/>
  <c r="X33" i="55"/>
  <c r="X15" i="55"/>
  <c r="Y64" i="55"/>
  <c r="Y69" i="55"/>
  <c r="AA33" i="55"/>
  <c r="X46" i="55"/>
  <c r="Y63" i="55"/>
  <c r="Z64" i="55"/>
  <c r="Z69" i="55"/>
  <c r="V13" i="55"/>
  <c r="AA15" i="55"/>
  <c r="R31" i="55"/>
  <c r="R30" i="55" s="1"/>
  <c r="AA51" i="55"/>
  <c r="X57" i="55"/>
  <c r="AA69" i="55"/>
  <c r="AA71" i="55"/>
  <c r="AA81" i="55"/>
  <c r="Y84" i="55"/>
  <c r="X86" i="55"/>
  <c r="AA98" i="55"/>
  <c r="Y113" i="55"/>
  <c r="Y132" i="55"/>
  <c r="X139" i="55"/>
  <c r="Z150" i="55"/>
  <c r="Q152" i="55"/>
  <c r="Y155" i="55"/>
  <c r="X159" i="55"/>
  <c r="X165" i="55"/>
  <c r="Z169" i="55"/>
  <c r="X176" i="55"/>
  <c r="AA183" i="55"/>
  <c r="U212" i="55"/>
  <c r="V212" i="55" s="1"/>
  <c r="Z259" i="55"/>
  <c r="Z281" i="55"/>
  <c r="Y331" i="55"/>
  <c r="AA331" i="55"/>
  <c r="X331" i="55"/>
  <c r="X353" i="55"/>
  <c r="S352" i="55"/>
  <c r="S351" i="55" s="1"/>
  <c r="AA355" i="55"/>
  <c r="M352" i="55"/>
  <c r="X381" i="55"/>
  <c r="Y403" i="55"/>
  <c r="AA466" i="55"/>
  <c r="V527" i="55"/>
  <c r="Z531" i="55"/>
  <c r="N51" i="56"/>
  <c r="Y75" i="56"/>
  <c r="AA87" i="56"/>
  <c r="K86" i="56"/>
  <c r="Q129" i="56"/>
  <c r="L15" i="57"/>
  <c r="N15" i="57"/>
  <c r="BJ15" i="57"/>
  <c r="L80" i="55"/>
  <c r="L79" i="55" s="1"/>
  <c r="Y86" i="55"/>
  <c r="V101" i="55"/>
  <c r="O112" i="55"/>
  <c r="X112" i="55" s="1"/>
  <c r="Z113" i="55"/>
  <c r="V124" i="55"/>
  <c r="Y139" i="55"/>
  <c r="R152" i="55"/>
  <c r="Z155" i="55"/>
  <c r="Z165" i="55"/>
  <c r="O168" i="55"/>
  <c r="AA168" i="55" s="1"/>
  <c r="O188" i="55"/>
  <c r="AA188" i="55" s="1"/>
  <c r="Y266" i="55"/>
  <c r="X266" i="55"/>
  <c r="O280" i="55"/>
  <c r="AA280" i="55" s="1"/>
  <c r="Z282" i="55"/>
  <c r="AA282" i="55"/>
  <c r="Y282" i="55"/>
  <c r="AA328" i="55"/>
  <c r="Z328" i="55"/>
  <c r="Y353" i="55"/>
  <c r="Y381" i="55"/>
  <c r="Z392" i="55"/>
  <c r="Z403" i="55"/>
  <c r="Y467" i="55"/>
  <c r="Z467" i="55"/>
  <c r="X467" i="55"/>
  <c r="AA467" i="55"/>
  <c r="X528" i="55"/>
  <c r="O527" i="55"/>
  <c r="Y527" i="55" s="1"/>
  <c r="Z528" i="55"/>
  <c r="X532" i="55"/>
  <c r="Z532" i="55"/>
  <c r="Y532" i="55"/>
  <c r="J26" i="56"/>
  <c r="N26" i="56"/>
  <c r="Z26" i="56" s="1"/>
  <c r="Y35" i="56"/>
  <c r="O51" i="56"/>
  <c r="L86" i="56"/>
  <c r="L85" i="56" s="1"/>
  <c r="AB85" i="56" s="1"/>
  <c r="AB87" i="56"/>
  <c r="K108" i="56"/>
  <c r="K107" i="56" s="1"/>
  <c r="AA107" i="56" s="1"/>
  <c r="AA109" i="56"/>
  <c r="J112" i="56"/>
  <c r="Z113" i="56"/>
  <c r="Z135" i="56"/>
  <c r="S148" i="56"/>
  <c r="AB164" i="56"/>
  <c r="L163" i="56"/>
  <c r="AA192" i="56"/>
  <c r="K191" i="56"/>
  <c r="AA191" i="56" s="1"/>
  <c r="L107" i="55"/>
  <c r="Z109" i="55"/>
  <c r="X123" i="55"/>
  <c r="X130" i="55"/>
  <c r="X135" i="55"/>
  <c r="AA139" i="55"/>
  <c r="O164" i="55"/>
  <c r="Y164" i="55" s="1"/>
  <c r="AA165" i="55"/>
  <c r="Z176" i="55"/>
  <c r="Y178" i="55"/>
  <c r="V199" i="55"/>
  <c r="M212" i="55"/>
  <c r="M211" i="55" s="1"/>
  <c r="M192" i="55" s="1"/>
  <c r="M26" i="55" s="1"/>
  <c r="M9" i="55" s="1"/>
  <c r="X275" i="55"/>
  <c r="Y277" i="55"/>
  <c r="AA277" i="55"/>
  <c r="Z277" i="55"/>
  <c r="Y297" i="55"/>
  <c r="Y318" i="55"/>
  <c r="AA318" i="55"/>
  <c r="Q328" i="55"/>
  <c r="Y328" i="55" s="1"/>
  <c r="Z353" i="55"/>
  <c r="V355" i="55"/>
  <c r="Z366" i="55"/>
  <c r="V444" i="55"/>
  <c r="AA486" i="55"/>
  <c r="Z486" i="55"/>
  <c r="Y523" i="55"/>
  <c r="AA523" i="55"/>
  <c r="V526" i="55"/>
  <c r="Z12" i="56"/>
  <c r="J11" i="56"/>
  <c r="V9" i="56"/>
  <c r="AA18" i="56"/>
  <c r="Z35" i="56"/>
  <c r="AB72" i="56"/>
  <c r="L108" i="56"/>
  <c r="L107" i="56" s="1"/>
  <c r="AB109" i="56"/>
  <c r="K117" i="56"/>
  <c r="K116" i="56" s="1"/>
  <c r="AA116" i="56" s="1"/>
  <c r="AA118" i="56"/>
  <c r="S129" i="56"/>
  <c r="AB160" i="56"/>
  <c r="P159" i="56"/>
  <c r="P158" i="56" s="1"/>
  <c r="R173" i="56"/>
  <c r="N183" i="56"/>
  <c r="N182" i="56" s="1"/>
  <c r="Z184" i="56"/>
  <c r="AB193" i="56"/>
  <c r="L192" i="56"/>
  <c r="AB192" i="56" s="1"/>
  <c r="O5" i="57"/>
  <c r="O4" i="57" s="1"/>
  <c r="AA5" i="57"/>
  <c r="AA4" i="57" s="1"/>
  <c r="AM5" i="57"/>
  <c r="AM4" i="57" s="1"/>
  <c r="AY5" i="57"/>
  <c r="AY4" i="57" s="1"/>
  <c r="BK5" i="57"/>
  <c r="BK4" i="57" s="1"/>
  <c r="BW5" i="57"/>
  <c r="BW4" i="57" s="1"/>
  <c r="CI5" i="57"/>
  <c r="CI4" i="57" s="1"/>
  <c r="CW6" i="57"/>
  <c r="CW5" i="57" s="1"/>
  <c r="CW4" i="57" s="1"/>
  <c r="DI5" i="57"/>
  <c r="DI4" i="57" s="1"/>
  <c r="DI99" i="57" s="1"/>
  <c r="DU5" i="57"/>
  <c r="DU4" i="57" s="1"/>
  <c r="DU99" i="57" s="1"/>
  <c r="EI60" i="57"/>
  <c r="X221" i="55"/>
  <c r="Q262" i="55"/>
  <c r="Q253" i="55" s="1"/>
  <c r="Q252" i="55" s="1"/>
  <c r="O396" i="55"/>
  <c r="Z396" i="55" s="1"/>
  <c r="AA425" i="55"/>
  <c r="Z425" i="55"/>
  <c r="X425" i="55"/>
  <c r="AA494" i="55"/>
  <c r="Z494" i="55"/>
  <c r="Y494" i="55"/>
  <c r="AA498" i="55"/>
  <c r="Y498" i="55"/>
  <c r="X498" i="55"/>
  <c r="R9" i="56"/>
  <c r="R4" i="56" s="1"/>
  <c r="Q9" i="56"/>
  <c r="Q4" i="56" s="1"/>
  <c r="Y17" i="56"/>
  <c r="W26" i="56"/>
  <c r="B21" i="57"/>
  <c r="B19" i="57" s="1"/>
  <c r="I72" i="56"/>
  <c r="Y72" i="56" s="1"/>
  <c r="Y74" i="56"/>
  <c r="U64" i="56"/>
  <c r="AB104" i="56"/>
  <c r="L103" i="56"/>
  <c r="L102" i="56" s="1"/>
  <c r="W106" i="56"/>
  <c r="W129" i="56"/>
  <c r="AZ33" i="57"/>
  <c r="BX33" i="57"/>
  <c r="CV33" i="57"/>
  <c r="DT33" i="57"/>
  <c r="EF35" i="57"/>
  <c r="AN34" i="57"/>
  <c r="AN33" i="57" s="1"/>
  <c r="EF80" i="57"/>
  <c r="R262" i="55"/>
  <c r="U284" i="55"/>
  <c r="V284" i="55" s="1"/>
  <c r="R293" i="55"/>
  <c r="V476" i="55"/>
  <c r="Z529" i="55"/>
  <c r="AA529" i="55"/>
  <c r="Z17" i="56"/>
  <c r="Z18" i="56"/>
  <c r="N17" i="56"/>
  <c r="Y22" i="56"/>
  <c r="T39" i="56"/>
  <c r="Z44" i="56"/>
  <c r="AB155" i="56"/>
  <c r="AB158" i="56"/>
  <c r="BA33" i="57"/>
  <c r="CW33" i="57"/>
  <c r="Q33" i="57"/>
  <c r="AC33" i="57"/>
  <c r="BM33" i="57"/>
  <c r="BY33" i="57"/>
  <c r="DU33" i="57"/>
  <c r="E69" i="57"/>
  <c r="EG70" i="57"/>
  <c r="Z221" i="55"/>
  <c r="V362" i="55"/>
  <c r="AA421" i="55"/>
  <c r="Z421" i="55"/>
  <c r="X421" i="55"/>
  <c r="Z458" i="55"/>
  <c r="AA458" i="55"/>
  <c r="Y458" i="55"/>
  <c r="X458" i="55"/>
  <c r="Z524" i="55"/>
  <c r="AA524" i="55"/>
  <c r="U9" i="56"/>
  <c r="AA17" i="56"/>
  <c r="Y40" i="56"/>
  <c r="U39" i="56"/>
  <c r="AA44" i="56"/>
  <c r="S64" i="56"/>
  <c r="O129" i="56"/>
  <c r="AA129" i="56" s="1"/>
  <c r="BM14" i="57"/>
  <c r="BM99" i="57" s="1"/>
  <c r="EF28" i="57"/>
  <c r="EF56" i="57"/>
  <c r="H55" i="57"/>
  <c r="EF55" i="57" s="1"/>
  <c r="AL83" i="57"/>
  <c r="AL82" i="57" s="1"/>
  <c r="M235" i="55"/>
  <c r="M234" i="55" s="1"/>
  <c r="M233" i="55" s="1"/>
  <c r="S235" i="55"/>
  <c r="S234" i="55" s="1"/>
  <c r="L271" i="55"/>
  <c r="P271" i="55"/>
  <c r="R284" i="55"/>
  <c r="M351" i="55"/>
  <c r="T369" i="55"/>
  <c r="X392" i="55"/>
  <c r="M410" i="55"/>
  <c r="M408" i="55" s="1"/>
  <c r="AA417" i="55"/>
  <c r="Z417" i="55"/>
  <c r="X417" i="55"/>
  <c r="W9" i="56"/>
  <c r="Z40" i="56"/>
  <c r="P64" i="56"/>
  <c r="AA77" i="56"/>
  <c r="Z121" i="56"/>
  <c r="V129" i="56"/>
  <c r="AB132" i="56"/>
  <c r="P148" i="56"/>
  <c r="AA153" i="56"/>
  <c r="Z160" i="56"/>
  <c r="Y176" i="56"/>
  <c r="I175" i="56"/>
  <c r="I174" i="56" s="1"/>
  <c r="EG28" i="57"/>
  <c r="EG56" i="57"/>
  <c r="I55" i="57"/>
  <c r="CE58" i="57"/>
  <c r="EE70" i="57"/>
  <c r="EI70" i="57" s="1"/>
  <c r="G69" i="57"/>
  <c r="L212" i="55"/>
  <c r="L211" i="55" s="1"/>
  <c r="X237" i="55"/>
  <c r="Y247" i="55"/>
  <c r="AA256" i="55"/>
  <c r="V263" i="55"/>
  <c r="AA268" i="55"/>
  <c r="AA273" i="55"/>
  <c r="X278" i="55"/>
  <c r="Y305" i="55"/>
  <c r="Z319" i="55"/>
  <c r="AA329" i="55"/>
  <c r="X332" i="55"/>
  <c r="X347" i="55"/>
  <c r="X373" i="55"/>
  <c r="Z382" i="55"/>
  <c r="X388" i="55"/>
  <c r="O389" i="55"/>
  <c r="Y389" i="55" s="1"/>
  <c r="X394" i="55"/>
  <c r="Z394" i="55"/>
  <c r="X400" i="55"/>
  <c r="V402" i="55"/>
  <c r="Z413" i="55"/>
  <c r="Y426" i="55"/>
  <c r="X447" i="55"/>
  <c r="Y451" i="55"/>
  <c r="AA451" i="55"/>
  <c r="Z451" i="55"/>
  <c r="AA454" i="55"/>
  <c r="Y472" i="55"/>
  <c r="AA475" i="55"/>
  <c r="Z487" i="55"/>
  <c r="X491" i="55"/>
  <c r="Z491" i="55"/>
  <c r="Y491" i="55"/>
  <c r="Y506" i="55"/>
  <c r="Y15" i="56"/>
  <c r="L26" i="56"/>
  <c r="R51" i="56"/>
  <c r="AB77" i="56"/>
  <c r="N106" i="56"/>
  <c r="Z118" i="56"/>
  <c r="AA132" i="56"/>
  <c r="Z176" i="56"/>
  <c r="J175" i="56"/>
  <c r="EH24" i="57"/>
  <c r="Y189" i="56"/>
  <c r="AJ15" i="57"/>
  <c r="EB15" i="57"/>
  <c r="AL15" i="57"/>
  <c r="BV15" i="57"/>
  <c r="BV14" i="57" s="1"/>
  <c r="CH15" i="57"/>
  <c r="DR15" i="57"/>
  <c r="ED15" i="57"/>
  <c r="EG22" i="57"/>
  <c r="L33" i="57"/>
  <c r="EF33" i="57" s="1"/>
  <c r="X33" i="57"/>
  <c r="AJ33" i="57"/>
  <c r="C45" i="57"/>
  <c r="O45" i="57"/>
  <c r="BL45" i="57"/>
  <c r="CJ45" i="57"/>
  <c r="DH45" i="57"/>
  <c r="B46" i="57"/>
  <c r="B45" i="57" s="1"/>
  <c r="B66" i="57"/>
  <c r="U4" i="56"/>
  <c r="Z22" i="56"/>
  <c r="AA33" i="56"/>
  <c r="AB81" i="56"/>
  <c r="N129" i="56"/>
  <c r="AA180" i="56"/>
  <c r="AA195" i="56"/>
  <c r="D45" i="57"/>
  <c r="EF46" i="57"/>
  <c r="P45" i="57"/>
  <c r="EF45" i="57" s="1"/>
  <c r="AN45" i="57"/>
  <c r="J58" i="57"/>
  <c r="AH58" i="57"/>
  <c r="AH14" i="57" s="1"/>
  <c r="BF58" i="57"/>
  <c r="CD58" i="57"/>
  <c r="DB58" i="57"/>
  <c r="DZ58" i="57"/>
  <c r="EG61" i="57"/>
  <c r="G58" i="57"/>
  <c r="S58" i="57"/>
  <c r="AE58" i="57"/>
  <c r="AQ58" i="57"/>
  <c r="BC58" i="57"/>
  <c r="CA58" i="57"/>
  <c r="AF83" i="57"/>
  <c r="AF82" i="57" s="1"/>
  <c r="BD83" i="57"/>
  <c r="BD82" i="57" s="1"/>
  <c r="CB83" i="57"/>
  <c r="CB82" i="57" s="1"/>
  <c r="T511" i="55"/>
  <c r="Z6" i="56"/>
  <c r="X9" i="56"/>
  <c r="AB15" i="56"/>
  <c r="AA22" i="56"/>
  <c r="Y28" i="56"/>
  <c r="AB33" i="56"/>
  <c r="S51" i="56"/>
  <c r="Z146" i="56"/>
  <c r="Y185" i="56"/>
  <c r="K188" i="56"/>
  <c r="K187" i="56" s="1"/>
  <c r="AA189" i="56"/>
  <c r="EG6" i="57"/>
  <c r="AL33" i="57"/>
  <c r="Q45" i="57"/>
  <c r="AC45" i="57"/>
  <c r="AO45" i="57"/>
  <c r="AI58" i="57"/>
  <c r="EH61" i="57"/>
  <c r="N83" i="57"/>
  <c r="N82" i="57" s="1"/>
  <c r="Z83" i="57"/>
  <c r="Z82" i="57" s="1"/>
  <c r="AX83" i="57"/>
  <c r="AX82" i="57" s="1"/>
  <c r="BJ83" i="57"/>
  <c r="BJ82" i="57" s="1"/>
  <c r="BV83" i="57"/>
  <c r="BV82" i="57" s="1"/>
  <c r="CT83" i="57"/>
  <c r="CT82" i="57" s="1"/>
  <c r="DR83" i="57"/>
  <c r="DR82" i="57" s="1"/>
  <c r="V512" i="55"/>
  <c r="AA6" i="56"/>
  <c r="Y18" i="56"/>
  <c r="AB22" i="56"/>
  <c r="Z28" i="56"/>
  <c r="V26" i="56"/>
  <c r="Y31" i="56"/>
  <c r="Q39" i="56"/>
  <c r="Y127" i="56"/>
  <c r="T129" i="56"/>
  <c r="J145" i="56"/>
  <c r="I188" i="56"/>
  <c r="AB189" i="56"/>
  <c r="I5" i="57"/>
  <c r="I4" i="57" s="1"/>
  <c r="AR15" i="57"/>
  <c r="I33" i="57"/>
  <c r="AG33" i="57"/>
  <c r="BE33" i="57"/>
  <c r="CC33" i="57"/>
  <c r="CC14" i="57" s="1"/>
  <c r="CC3" i="57" s="1"/>
  <c r="CO33" i="57"/>
  <c r="DA33" i="57"/>
  <c r="DA14" i="57" s="1"/>
  <c r="DY33" i="57"/>
  <c r="X58" i="57"/>
  <c r="AV58" i="57"/>
  <c r="EG78" i="57"/>
  <c r="I77" i="57"/>
  <c r="EI80" i="57"/>
  <c r="L410" i="55"/>
  <c r="L408" i="55" s="1"/>
  <c r="X455" i="55"/>
  <c r="Y464" i="55"/>
  <c r="N9" i="56"/>
  <c r="Z31" i="56"/>
  <c r="I54" i="56"/>
  <c r="I53" i="56" s="1"/>
  <c r="I52" i="56" s="1"/>
  <c r="Y52" i="56" s="1"/>
  <c r="Y67" i="56"/>
  <c r="AB89" i="56"/>
  <c r="AB100" i="56"/>
  <c r="Y137" i="56"/>
  <c r="D15" i="57"/>
  <c r="AZ15" i="57"/>
  <c r="CV15" i="57"/>
  <c r="F15" i="57"/>
  <c r="EH19" i="57"/>
  <c r="CX15" i="57"/>
  <c r="EE28" i="57"/>
  <c r="EI28" i="57" s="1"/>
  <c r="CP33" i="57"/>
  <c r="EG49" i="57"/>
  <c r="B49" i="57"/>
  <c r="CZ58" i="57"/>
  <c r="V77" i="57"/>
  <c r="AT77" i="57"/>
  <c r="BR77" i="57"/>
  <c r="CP77" i="57"/>
  <c r="EH77" i="57" s="1"/>
  <c r="DN77" i="57"/>
  <c r="Y160" i="56"/>
  <c r="AB185" i="56"/>
  <c r="W15" i="57"/>
  <c r="AU15" i="57"/>
  <c r="AU14" i="57" s="1"/>
  <c r="AU3" i="57" s="1"/>
  <c r="BS15" i="57"/>
  <c r="CQ15" i="57"/>
  <c r="DO15" i="57"/>
  <c r="M15" i="57"/>
  <c r="AK15" i="57"/>
  <c r="CG15" i="57"/>
  <c r="DE15" i="57"/>
  <c r="EC15" i="57"/>
  <c r="EG30" i="57"/>
  <c r="Z33" i="57"/>
  <c r="AU45" i="57"/>
  <c r="EE45" i="57" s="1"/>
  <c r="EI45" i="57" s="1"/>
  <c r="CQ45" i="57"/>
  <c r="DO45" i="57"/>
  <c r="EE48" i="57"/>
  <c r="EI48" i="57" s="1"/>
  <c r="AQ46" i="57"/>
  <c r="AQ45" i="57" s="1"/>
  <c r="J45" i="57"/>
  <c r="Q58" i="57"/>
  <c r="AC58" i="57"/>
  <c r="AO58" i="57"/>
  <c r="BA58" i="57"/>
  <c r="BM58" i="57"/>
  <c r="BY58" i="57"/>
  <c r="CK58" i="57"/>
  <c r="CK14" i="57" s="1"/>
  <c r="CW58" i="57"/>
  <c r="DI58" i="57"/>
  <c r="DU58" i="57"/>
  <c r="L69" i="57"/>
  <c r="AJ69" i="57"/>
  <c r="BH69" i="57"/>
  <c r="BT69" i="57"/>
  <c r="CF69" i="57"/>
  <c r="DD69" i="57"/>
  <c r="DP69" i="57"/>
  <c r="EB69" i="57"/>
  <c r="EF69" i="57" s="1"/>
  <c r="EF78" i="57"/>
  <c r="D77" i="57"/>
  <c r="P77" i="57"/>
  <c r="AB77" i="57"/>
  <c r="AN77" i="57"/>
  <c r="AZ77" i="57"/>
  <c r="BL77" i="57"/>
  <c r="BX77" i="57"/>
  <c r="CJ77" i="57"/>
  <c r="CV77" i="57"/>
  <c r="DH77" i="57"/>
  <c r="DT77" i="57"/>
  <c r="EH90" i="57"/>
  <c r="BR83" i="57"/>
  <c r="BR82" i="57" s="1"/>
  <c r="DX83" i="57"/>
  <c r="DX82" i="57" s="1"/>
  <c r="M173" i="56"/>
  <c r="Y197" i="56"/>
  <c r="L5" i="57"/>
  <c r="L4" i="57" s="1"/>
  <c r="AJ5" i="57"/>
  <c r="AJ4" i="57" s="1"/>
  <c r="BH5" i="57"/>
  <c r="BH4" i="57" s="1"/>
  <c r="CF5" i="57"/>
  <c r="CF4" i="57" s="1"/>
  <c r="AW15" i="57"/>
  <c r="AW14" i="57" s="1"/>
  <c r="CS15" i="57"/>
  <c r="EH22" i="57"/>
  <c r="AR33" i="57"/>
  <c r="AR14" i="57" s="1"/>
  <c r="BR33" i="57"/>
  <c r="DB33" i="57"/>
  <c r="DB14" i="57" s="1"/>
  <c r="DN33" i="57"/>
  <c r="AT33" i="57"/>
  <c r="AX33" i="57"/>
  <c r="CH33" i="57"/>
  <c r="BO58" i="57"/>
  <c r="C83" i="57"/>
  <c r="C82" i="57" s="1"/>
  <c r="AA83" i="57"/>
  <c r="AA82" i="57" s="1"/>
  <c r="AY83" i="57"/>
  <c r="AY82" i="57" s="1"/>
  <c r="BW83" i="57"/>
  <c r="BW82" i="57" s="1"/>
  <c r="CU83" i="57"/>
  <c r="CU82" i="57" s="1"/>
  <c r="DS83" i="57"/>
  <c r="DS82" i="57" s="1"/>
  <c r="EG92" i="57"/>
  <c r="Q148" i="56"/>
  <c r="N148" i="56"/>
  <c r="Y170" i="56"/>
  <c r="Y169" i="56" s="1"/>
  <c r="Y5" i="57"/>
  <c r="Y4" i="57" s="1"/>
  <c r="AK5" i="57"/>
  <c r="AK4" i="57" s="1"/>
  <c r="AW5" i="57"/>
  <c r="AW4" i="57" s="1"/>
  <c r="CG5" i="57"/>
  <c r="CG4" i="57" s="1"/>
  <c r="DG5" i="57"/>
  <c r="DG4" i="57" s="1"/>
  <c r="EF19" i="57"/>
  <c r="EI20" i="57"/>
  <c r="CP24" i="57"/>
  <c r="CP15" i="57" s="1"/>
  <c r="EH27" i="57"/>
  <c r="EE36" i="57"/>
  <c r="EI36" i="57" s="1"/>
  <c r="EE61" i="57"/>
  <c r="AM69" i="57"/>
  <c r="BW69" i="57"/>
  <c r="CI69" i="57"/>
  <c r="DG69" i="57"/>
  <c r="EE91" i="57"/>
  <c r="EI91" i="57" s="1"/>
  <c r="CY90" i="57"/>
  <c r="EE90" i="57" s="1"/>
  <c r="EI90" i="57" s="1"/>
  <c r="CV5" i="57"/>
  <c r="CV4" i="57" s="1"/>
  <c r="DT5" i="57"/>
  <c r="DT4" i="57" s="1"/>
  <c r="O15" i="57"/>
  <c r="AM15" i="57"/>
  <c r="BK15" i="57"/>
  <c r="CI15" i="57"/>
  <c r="DG15" i="57"/>
  <c r="AC15" i="57"/>
  <c r="BA15" i="57"/>
  <c r="BY15" i="57"/>
  <c r="CW15" i="57"/>
  <c r="DU15" i="57"/>
  <c r="DU14" i="57" s="1"/>
  <c r="EH34" i="57"/>
  <c r="F33" i="57"/>
  <c r="EH33" i="57" s="1"/>
  <c r="BH33" i="57"/>
  <c r="CF33" i="57"/>
  <c r="DD33" i="57"/>
  <c r="EB33" i="57"/>
  <c r="DR33" i="57"/>
  <c r="BK45" i="57"/>
  <c r="DS45" i="57"/>
  <c r="I58" i="57"/>
  <c r="U58" i="57"/>
  <c r="AG58" i="57"/>
  <c r="AS58" i="57"/>
  <c r="BE58" i="57"/>
  <c r="BQ58" i="57"/>
  <c r="CC58" i="57"/>
  <c r="CO58" i="57"/>
  <c r="DA58" i="57"/>
  <c r="DM58" i="57"/>
  <c r="DY58" i="57"/>
  <c r="EF61" i="57"/>
  <c r="B61" i="57"/>
  <c r="B58" i="57" s="1"/>
  <c r="EG64" i="57"/>
  <c r="EE74" i="57"/>
  <c r="EI74" i="57" s="1"/>
  <c r="E83" i="57"/>
  <c r="E82" i="57" s="1"/>
  <c r="EG82" i="57" s="1"/>
  <c r="Q83" i="57"/>
  <c r="Q82" i="57" s="1"/>
  <c r="AC83" i="57"/>
  <c r="AC82" i="57" s="1"/>
  <c r="AO83" i="57"/>
  <c r="AO82" i="57" s="1"/>
  <c r="BA83" i="57"/>
  <c r="BA82" i="57" s="1"/>
  <c r="BM83" i="57"/>
  <c r="BM82" i="57" s="1"/>
  <c r="BY83" i="57"/>
  <c r="BY82" i="57" s="1"/>
  <c r="CK83" i="57"/>
  <c r="CK82" i="57" s="1"/>
  <c r="CW83" i="57"/>
  <c r="CW82" i="57" s="1"/>
  <c r="DI83" i="57"/>
  <c r="DI82" i="57" s="1"/>
  <c r="DU83" i="57"/>
  <c r="DU82" i="57" s="1"/>
  <c r="CZ90" i="57"/>
  <c r="CZ83" i="57" s="1"/>
  <c r="CZ82" i="57" s="1"/>
  <c r="EF91" i="57"/>
  <c r="P83" i="57"/>
  <c r="P82" i="57" s="1"/>
  <c r="AN83" i="57"/>
  <c r="AN82" i="57" s="1"/>
  <c r="BL83" i="57"/>
  <c r="BL82" i="57" s="1"/>
  <c r="CJ83" i="57"/>
  <c r="CJ82" i="57" s="1"/>
  <c r="DH83" i="57"/>
  <c r="DH82" i="57" s="1"/>
  <c r="CK5" i="57"/>
  <c r="CK4" i="57" s="1"/>
  <c r="Z15" i="57"/>
  <c r="AX15" i="57"/>
  <c r="CT15" i="57"/>
  <c r="CT14" i="57" s="1"/>
  <c r="AY15" i="57"/>
  <c r="EH36" i="57"/>
  <c r="M33" i="57"/>
  <c r="Y33" i="57"/>
  <c r="Y14" i="57" s="1"/>
  <c r="AW33" i="57"/>
  <c r="BI33" i="57"/>
  <c r="BI14" i="57" s="1"/>
  <c r="BU33" i="57"/>
  <c r="BU14" i="57" s="1"/>
  <c r="CS33" i="57"/>
  <c r="DE33" i="57"/>
  <c r="DQ33" i="57"/>
  <c r="N45" i="57"/>
  <c r="AL45" i="57"/>
  <c r="BJ45" i="57"/>
  <c r="CH45" i="57"/>
  <c r="DF45" i="57"/>
  <c r="ED45" i="57"/>
  <c r="M58" i="57"/>
  <c r="Y58" i="57"/>
  <c r="AK58" i="57"/>
  <c r="AW58" i="57"/>
  <c r="BI58" i="57"/>
  <c r="BU58" i="57"/>
  <c r="CG58" i="57"/>
  <c r="CS58" i="57"/>
  <c r="DE58" i="57"/>
  <c r="DQ58" i="57"/>
  <c r="DQ14" i="57" s="1"/>
  <c r="EC58" i="57"/>
  <c r="EF64" i="57"/>
  <c r="D69" i="57"/>
  <c r="AB69" i="57"/>
  <c r="AZ69" i="57"/>
  <c r="BX69" i="57"/>
  <c r="CV69" i="57"/>
  <c r="H77" i="57"/>
  <c r="AF77" i="57"/>
  <c r="BD77" i="57"/>
  <c r="CB77" i="57"/>
  <c r="CZ77" i="57"/>
  <c r="DX77" i="57"/>
  <c r="EH92" i="57"/>
  <c r="V5" i="57"/>
  <c r="V4" i="57" s="1"/>
  <c r="BR5" i="57"/>
  <c r="BR4" i="57" s="1"/>
  <c r="CQ5" i="57"/>
  <c r="CQ4" i="57" s="1"/>
  <c r="DD5" i="57"/>
  <c r="DD4" i="57" s="1"/>
  <c r="EB5" i="57"/>
  <c r="EB4" i="57" s="1"/>
  <c r="EE10" i="57"/>
  <c r="EI10" i="57" s="1"/>
  <c r="AE15" i="57"/>
  <c r="AE14" i="57" s="1"/>
  <c r="AE99" i="57" s="1"/>
  <c r="BC15" i="57"/>
  <c r="CA15" i="57"/>
  <c r="CY15" i="57"/>
  <c r="CY14" i="57" s="1"/>
  <c r="DW15" i="57"/>
  <c r="CF15" i="57"/>
  <c r="EE30" i="57"/>
  <c r="EH38" i="57"/>
  <c r="EH49" i="57"/>
  <c r="AP45" i="57"/>
  <c r="BN45" i="57"/>
  <c r="R58" i="57"/>
  <c r="AP58" i="57"/>
  <c r="AP14" i="57" s="1"/>
  <c r="BN58" i="57"/>
  <c r="BN14" i="57" s="1"/>
  <c r="CL58" i="57"/>
  <c r="DJ58" i="57"/>
  <c r="U83" i="57"/>
  <c r="U82" i="57" s="1"/>
  <c r="AS83" i="57"/>
  <c r="AS82" i="57" s="1"/>
  <c r="BQ83" i="57"/>
  <c r="BQ82" i="57" s="1"/>
  <c r="CO83" i="57"/>
  <c r="CO82" i="57" s="1"/>
  <c r="DM83" i="57"/>
  <c r="DM82" i="57" s="1"/>
  <c r="EI88" i="57"/>
  <c r="AU5" i="57"/>
  <c r="AU4" i="57" s="1"/>
  <c r="BS5" i="57"/>
  <c r="BS4" i="57" s="1"/>
  <c r="EF16" i="57"/>
  <c r="DL15" i="57"/>
  <c r="U15" i="57"/>
  <c r="U14" i="57" s="1"/>
  <c r="AS15" i="57"/>
  <c r="BQ15" i="57"/>
  <c r="BQ14" i="57" s="1"/>
  <c r="BQ99" i="57" s="1"/>
  <c r="CO15" i="57"/>
  <c r="CO14" i="57" s="1"/>
  <c r="CO99" i="57" s="1"/>
  <c r="DM15" i="57"/>
  <c r="EF24" i="57"/>
  <c r="EF30" i="57"/>
  <c r="D33" i="57"/>
  <c r="P33" i="57"/>
  <c r="AB33" i="57"/>
  <c r="BP33" i="57"/>
  <c r="CN33" i="57"/>
  <c r="DL33" i="57"/>
  <c r="DK45" i="57"/>
  <c r="EE59" i="57"/>
  <c r="EI59" i="57" s="1"/>
  <c r="J69" i="57"/>
  <c r="EH69" i="57" s="1"/>
  <c r="N77" i="57"/>
  <c r="AL77" i="57"/>
  <c r="BJ77" i="57"/>
  <c r="CH77" i="57"/>
  <c r="DF77" i="57"/>
  <c r="ED77" i="57"/>
  <c r="EH80" i="57"/>
  <c r="EH84" i="57"/>
  <c r="AH83" i="57"/>
  <c r="AH82" i="57" s="1"/>
  <c r="BF83" i="57"/>
  <c r="BF82" i="57" s="1"/>
  <c r="CD83" i="57"/>
  <c r="CD82" i="57" s="1"/>
  <c r="DB83" i="57"/>
  <c r="DB82" i="57" s="1"/>
  <c r="DZ83" i="57"/>
  <c r="DZ82" i="57" s="1"/>
  <c r="X83" i="57"/>
  <c r="X82" i="57" s="1"/>
  <c r="AV83" i="57"/>
  <c r="AV82" i="57" s="1"/>
  <c r="BT83" i="57"/>
  <c r="BT82" i="57" s="1"/>
  <c r="CR83" i="57"/>
  <c r="CR82" i="57" s="1"/>
  <c r="DP83" i="57"/>
  <c r="DP82" i="57" s="1"/>
  <c r="EG94" i="57"/>
  <c r="BR15" i="57"/>
  <c r="EI26" i="57"/>
  <c r="AS33" i="57"/>
  <c r="EF38" i="57"/>
  <c r="EH43" i="57"/>
  <c r="I45" i="57"/>
  <c r="U45" i="57"/>
  <c r="AG45" i="57"/>
  <c r="AS45" i="57"/>
  <c r="BE45" i="57"/>
  <c r="BQ45" i="57"/>
  <c r="CC45" i="57"/>
  <c r="CO45" i="57"/>
  <c r="DA45" i="57"/>
  <c r="DM45" i="57"/>
  <c r="DY45" i="57"/>
  <c r="DY14" i="57" s="1"/>
  <c r="O58" i="57"/>
  <c r="AA58" i="57"/>
  <c r="AM58" i="57"/>
  <c r="AY58" i="57"/>
  <c r="BK58" i="57"/>
  <c r="BW58" i="57"/>
  <c r="CI58" i="57"/>
  <c r="CU58" i="57"/>
  <c r="DG58" i="57"/>
  <c r="DS58" i="57"/>
  <c r="CR58" i="57"/>
  <c r="DP58" i="57"/>
  <c r="EG68" i="57"/>
  <c r="W69" i="57"/>
  <c r="AU69" i="57"/>
  <c r="BS69" i="57"/>
  <c r="DO69" i="57"/>
  <c r="EE78" i="57"/>
  <c r="EI78" i="57" s="1"/>
  <c r="O77" i="57"/>
  <c r="AA77" i="57"/>
  <c r="AM77" i="57"/>
  <c r="AY77" i="57"/>
  <c r="BK77" i="57"/>
  <c r="BW77" i="57"/>
  <c r="CI77" i="57"/>
  <c r="CU77" i="57"/>
  <c r="DG77" i="57"/>
  <c r="DS77" i="57"/>
  <c r="K83" i="57"/>
  <c r="K82" i="57" s="1"/>
  <c r="AI83" i="57"/>
  <c r="AI82" i="57" s="1"/>
  <c r="BG83" i="57"/>
  <c r="BG82" i="57" s="1"/>
  <c r="CE83" i="57"/>
  <c r="CE82" i="57" s="1"/>
  <c r="DC83" i="57"/>
  <c r="DC82" i="57" s="1"/>
  <c r="EA83" i="57"/>
  <c r="EA82" i="57" s="1"/>
  <c r="S12" i="55"/>
  <c r="AA13" i="55"/>
  <c r="P10" i="55"/>
  <c r="R11" i="55"/>
  <c r="Y34" i="55"/>
  <c r="AA55" i="55"/>
  <c r="L106" i="55"/>
  <c r="L26" i="55" s="1"/>
  <c r="L9" i="55" s="1"/>
  <c r="U12" i="55"/>
  <c r="Z16" i="55"/>
  <c r="X19" i="55"/>
  <c r="Z20" i="55"/>
  <c r="R75" i="55"/>
  <c r="Z75" i="55" s="1"/>
  <c r="Z76" i="55"/>
  <c r="AA136" i="55"/>
  <c r="Z136" i="55"/>
  <c r="Y136" i="55"/>
  <c r="L192" i="55"/>
  <c r="T234" i="55"/>
  <c r="Y14" i="55"/>
  <c r="X18" i="55"/>
  <c r="Y23" i="55"/>
  <c r="Z56" i="55"/>
  <c r="O55" i="55"/>
  <c r="Z55" i="55" s="1"/>
  <c r="Y56" i="55"/>
  <c r="X56" i="55"/>
  <c r="AA56" i="55"/>
  <c r="X61" i="55"/>
  <c r="Q61" i="55"/>
  <c r="AA61" i="55"/>
  <c r="Z61" i="55"/>
  <c r="Z13" i="55"/>
  <c r="Y18" i="55"/>
  <c r="X22" i="55"/>
  <c r="Z23" i="55"/>
  <c r="AI101" i="57"/>
  <c r="Y32" i="55"/>
  <c r="AA34" i="55"/>
  <c r="Z50" i="55"/>
  <c r="Y50" i="55"/>
  <c r="X50" i="55"/>
  <c r="AA50" i="55"/>
  <c r="Z62" i="55"/>
  <c r="Y62" i="55"/>
  <c r="X62" i="55"/>
  <c r="AA62" i="55"/>
  <c r="AA132" i="55"/>
  <c r="Z132" i="55"/>
  <c r="P38" i="55"/>
  <c r="X55" i="55"/>
  <c r="AA14" i="55"/>
  <c r="Z18" i="55"/>
  <c r="Y22" i="55"/>
  <c r="U29" i="55"/>
  <c r="T32" i="55"/>
  <c r="O17" i="55"/>
  <c r="Z17" i="55" s="1"/>
  <c r="Z22" i="55"/>
  <c r="Y55" i="55"/>
  <c r="V67" i="55"/>
  <c r="U38" i="55"/>
  <c r="V80" i="55"/>
  <c r="S79" i="55"/>
  <c r="P144" i="55"/>
  <c r="X145" i="55"/>
  <c r="AE101" i="57"/>
  <c r="Y31" i="55"/>
  <c r="Q30" i="55"/>
  <c r="X34" i="55"/>
  <c r="Z41" i="55"/>
  <c r="Y41" i="55"/>
  <c r="X41" i="55"/>
  <c r="AA41" i="55"/>
  <c r="Q44" i="55"/>
  <c r="Z44" i="55"/>
  <c r="R43" i="55"/>
  <c r="Z43" i="55" s="1"/>
  <c r="S106" i="55"/>
  <c r="P35" i="55"/>
  <c r="X35" i="55" s="1"/>
  <c r="AA36" i="55"/>
  <c r="Y40" i="55"/>
  <c r="P45" i="55"/>
  <c r="X45" i="55" s="1"/>
  <c r="O47" i="55"/>
  <c r="AA47" i="55" s="1"/>
  <c r="X48" i="55"/>
  <c r="Y49" i="55"/>
  <c r="Y60" i="55"/>
  <c r="Z66" i="55"/>
  <c r="X70" i="55"/>
  <c r="X108" i="55"/>
  <c r="X140" i="55"/>
  <c r="AA182" i="55"/>
  <c r="Z182" i="55"/>
  <c r="U194" i="55"/>
  <c r="AA202" i="55"/>
  <c r="Z202" i="55"/>
  <c r="R205" i="55"/>
  <c r="X207" i="55"/>
  <c r="AA208" i="55"/>
  <c r="Z208" i="55"/>
  <c r="O207" i="55"/>
  <c r="AA218" i="55"/>
  <c r="Z218" i="55"/>
  <c r="O217" i="55"/>
  <c r="Z217" i="55" s="1"/>
  <c r="Z248" i="55"/>
  <c r="AA251" i="55"/>
  <c r="Z251" i="55"/>
  <c r="AA260" i="55"/>
  <c r="Z260" i="55"/>
  <c r="Y260" i="55"/>
  <c r="X260" i="55"/>
  <c r="M252" i="55"/>
  <c r="AA265" i="55"/>
  <c r="Z265" i="55"/>
  <c r="Y265" i="55"/>
  <c r="X265" i="55"/>
  <c r="AA321" i="55"/>
  <c r="Z321" i="55"/>
  <c r="Y321" i="55"/>
  <c r="X321" i="55"/>
  <c r="AA334" i="55"/>
  <c r="Z334" i="55"/>
  <c r="AA350" i="55"/>
  <c r="Z350" i="55"/>
  <c r="Y380" i="55"/>
  <c r="AA380" i="55"/>
  <c r="Z380" i="55"/>
  <c r="X380" i="55"/>
  <c r="AB70" i="56"/>
  <c r="Q35" i="55"/>
  <c r="Y35" i="55" s="1"/>
  <c r="X39" i="55"/>
  <c r="Z40" i="55"/>
  <c r="Z49" i="55"/>
  <c r="O59" i="55"/>
  <c r="X59" i="55" s="1"/>
  <c r="Z60" i="55"/>
  <c r="AA66" i="55"/>
  <c r="AA77" i="55"/>
  <c r="U79" i="55"/>
  <c r="X81" i="55"/>
  <c r="AA87" i="55"/>
  <c r="AA96" i="55"/>
  <c r="AA109" i="55"/>
  <c r="AA118" i="55"/>
  <c r="AA127" i="55"/>
  <c r="Y140" i="55"/>
  <c r="AA141" i="55"/>
  <c r="O144" i="55"/>
  <c r="AA146" i="55"/>
  <c r="X168" i="55"/>
  <c r="V176" i="55"/>
  <c r="Q206" i="55"/>
  <c r="Y207" i="55"/>
  <c r="Y213" i="55"/>
  <c r="Z216" i="55"/>
  <c r="X216" i="55"/>
  <c r="AA227" i="55"/>
  <c r="Z227" i="55"/>
  <c r="V240" i="55"/>
  <c r="AA248" i="55"/>
  <c r="AA279" i="55"/>
  <c r="Z279" i="55"/>
  <c r="Y279" i="55"/>
  <c r="X279" i="55"/>
  <c r="V289" i="55"/>
  <c r="Q293" i="55"/>
  <c r="AA308" i="55"/>
  <c r="Z308" i="55"/>
  <c r="Y308" i="55"/>
  <c r="X308" i="55"/>
  <c r="O314" i="55"/>
  <c r="X314" i="55" s="1"/>
  <c r="R352" i="55"/>
  <c r="Y378" i="55"/>
  <c r="O377" i="55"/>
  <c r="Y377" i="55" s="1"/>
  <c r="AA378" i="55"/>
  <c r="AA389" i="55"/>
  <c r="S385" i="55"/>
  <c r="Y508" i="55"/>
  <c r="AA515" i="55"/>
  <c r="Z515" i="55"/>
  <c r="Y515" i="55"/>
  <c r="X515" i="55"/>
  <c r="O512" i="55"/>
  <c r="L136" i="56"/>
  <c r="AB137" i="56"/>
  <c r="Y145" i="56"/>
  <c r="I144" i="56"/>
  <c r="R35" i="55"/>
  <c r="Z35" i="55" s="1"/>
  <c r="AA40" i="55"/>
  <c r="AA49" i="55"/>
  <c r="AA60" i="55"/>
  <c r="Q68" i="55"/>
  <c r="Y74" i="55"/>
  <c r="AA82" i="55"/>
  <c r="O85" i="55"/>
  <c r="X85" i="55" s="1"/>
  <c r="Z86" i="55"/>
  <c r="Y90" i="55"/>
  <c r="AA91" i="55"/>
  <c r="X94" i="55"/>
  <c r="Z95" i="55"/>
  <c r="P98" i="55"/>
  <c r="P99" i="55"/>
  <c r="X99" i="55" s="1"/>
  <c r="O101" i="55"/>
  <c r="AA101" i="55" s="1"/>
  <c r="AA102" i="55"/>
  <c r="R105" i="55"/>
  <c r="Z105" i="55" s="1"/>
  <c r="X111" i="55"/>
  <c r="AA113" i="55"/>
  <c r="O116" i="55"/>
  <c r="X116" i="55" s="1"/>
  <c r="Z117" i="55"/>
  <c r="Y121" i="55"/>
  <c r="AA122" i="55"/>
  <c r="X125" i="55"/>
  <c r="Z126" i="55"/>
  <c r="Y130" i="55"/>
  <c r="AA131" i="55"/>
  <c r="X134" i="55"/>
  <c r="Z135" i="55"/>
  <c r="X143" i="55"/>
  <c r="Z145" i="55"/>
  <c r="AA150" i="55"/>
  <c r="U152" i="55"/>
  <c r="V152" i="55" s="1"/>
  <c r="AA155" i="55"/>
  <c r="AA159" i="55"/>
  <c r="Z159" i="55"/>
  <c r="AA173" i="55"/>
  <c r="Z173" i="55"/>
  <c r="O172" i="55"/>
  <c r="Z172" i="55" s="1"/>
  <c r="AA174" i="55"/>
  <c r="V180" i="55"/>
  <c r="X182" i="55"/>
  <c r="AA190" i="55"/>
  <c r="Y190" i="55"/>
  <c r="X190" i="55"/>
  <c r="V200" i="55"/>
  <c r="X202" i="55"/>
  <c r="U206" i="55"/>
  <c r="X208" i="55"/>
  <c r="R212" i="55"/>
  <c r="X218" i="55"/>
  <c r="V236" i="55"/>
  <c r="U235" i="55"/>
  <c r="Z245" i="55"/>
  <c r="O244" i="55"/>
  <c r="Y244" i="55" s="1"/>
  <c r="Y245" i="55"/>
  <c r="X245" i="55"/>
  <c r="Y248" i="55"/>
  <c r="X251" i="55"/>
  <c r="N253" i="55"/>
  <c r="N252" i="55" s="1"/>
  <c r="N234" i="55" s="1"/>
  <c r="O258" i="55"/>
  <c r="AA261" i="55"/>
  <c r="Z261" i="55"/>
  <c r="O263" i="55"/>
  <c r="Z263" i="55" s="1"/>
  <c r="AA266" i="55"/>
  <c r="Z266" i="55"/>
  <c r="AA290" i="55"/>
  <c r="Z290" i="55"/>
  <c r="O289" i="55"/>
  <c r="Z289" i="55" s="1"/>
  <c r="P293" i="55"/>
  <c r="O306" i="55"/>
  <c r="Y306" i="55" s="1"/>
  <c r="AA322" i="55"/>
  <c r="Z322" i="55"/>
  <c r="X334" i="55"/>
  <c r="Y341" i="55"/>
  <c r="AA341" i="55"/>
  <c r="Z341" i="55"/>
  <c r="X341" i="55"/>
  <c r="X350" i="55"/>
  <c r="P369" i="55"/>
  <c r="AA412" i="55"/>
  <c r="Z412" i="55"/>
  <c r="O411" i="55"/>
  <c r="Y412" i="55"/>
  <c r="X412" i="55"/>
  <c r="AA485" i="55"/>
  <c r="Z485" i="55"/>
  <c r="Y485" i="55"/>
  <c r="X485" i="55"/>
  <c r="AA505" i="55"/>
  <c r="Z505" i="55"/>
  <c r="Y505" i="55"/>
  <c r="X505" i="55"/>
  <c r="X73" i="55"/>
  <c r="AA76" i="55"/>
  <c r="Z81" i="55"/>
  <c r="X84" i="55"/>
  <c r="O89" i="55"/>
  <c r="Y94" i="55"/>
  <c r="R98" i="55"/>
  <c r="R99" i="55"/>
  <c r="Z99" i="55" s="1"/>
  <c r="X100" i="55"/>
  <c r="R104" i="55"/>
  <c r="Z104" i="55" s="1"/>
  <c r="X105" i="55"/>
  <c r="Q107" i="55"/>
  <c r="AA108" i="55"/>
  <c r="Y111" i="55"/>
  <c r="X115" i="55"/>
  <c r="O120" i="55"/>
  <c r="Y125" i="55"/>
  <c r="X129" i="55"/>
  <c r="Y134" i="55"/>
  <c r="X138" i="55"/>
  <c r="Y143" i="55"/>
  <c r="AA145" i="55"/>
  <c r="O148" i="55"/>
  <c r="X148" i="55" s="1"/>
  <c r="O153" i="55"/>
  <c r="X153" i="55" s="1"/>
  <c r="AA167" i="55"/>
  <c r="Y167" i="55"/>
  <c r="X167" i="55"/>
  <c r="Y168" i="55"/>
  <c r="Z171" i="55"/>
  <c r="X171" i="55"/>
  <c r="Y172" i="55"/>
  <c r="Y182" i="55"/>
  <c r="X188" i="55"/>
  <c r="P194" i="55"/>
  <c r="Y198" i="55"/>
  <c r="O195" i="55"/>
  <c r="Z195" i="55" s="1"/>
  <c r="Y202" i="55"/>
  <c r="S206" i="55"/>
  <c r="AA207" i="55"/>
  <c r="Y208" i="55"/>
  <c r="Y216" i="55"/>
  <c r="Y218" i="55"/>
  <c r="X227" i="55"/>
  <c r="AA241" i="55"/>
  <c r="Z241" i="55"/>
  <c r="O240" i="55"/>
  <c r="AA240" i="55" s="1"/>
  <c r="Y241" i="55"/>
  <c r="X241" i="55"/>
  <c r="Z244" i="55"/>
  <c r="Y251" i="55"/>
  <c r="P253" i="55"/>
  <c r="T252" i="55"/>
  <c r="V285" i="55"/>
  <c r="T293" i="55"/>
  <c r="V293" i="55" s="1"/>
  <c r="S293" i="55"/>
  <c r="Z303" i="55"/>
  <c r="O302" i="55"/>
  <c r="Y302" i="55" s="1"/>
  <c r="Y303" i="55"/>
  <c r="X303" i="55"/>
  <c r="AA309" i="55"/>
  <c r="Z309" i="55"/>
  <c r="Y324" i="55"/>
  <c r="AA324" i="55"/>
  <c r="Z324" i="55"/>
  <c r="X324" i="55"/>
  <c r="Y334" i="55"/>
  <c r="AA344" i="55"/>
  <c r="Z344" i="55"/>
  <c r="Y344" i="55"/>
  <c r="X344" i="55"/>
  <c r="Y350" i="55"/>
  <c r="Y359" i="55"/>
  <c r="O358" i="55"/>
  <c r="AA359" i="55"/>
  <c r="Z359" i="55"/>
  <c r="X359" i="55"/>
  <c r="X378" i="55"/>
  <c r="Z439" i="55"/>
  <c r="Y439" i="55"/>
  <c r="X439" i="55"/>
  <c r="AA439" i="55"/>
  <c r="V988" i="55"/>
  <c r="T9" i="56"/>
  <c r="AB9" i="56" s="1"/>
  <c r="AB18" i="56"/>
  <c r="T17" i="56"/>
  <c r="AB17" i="56" s="1"/>
  <c r="AA52" i="56"/>
  <c r="Y99" i="56"/>
  <c r="I98" i="56"/>
  <c r="Y98" i="56" s="1"/>
  <c r="Y100" i="56"/>
  <c r="X51" i="55"/>
  <c r="X63" i="55"/>
  <c r="O93" i="55"/>
  <c r="O80" i="55" s="1"/>
  <c r="Z94" i="55"/>
  <c r="R107" i="55"/>
  <c r="Z111" i="55"/>
  <c r="O124" i="55"/>
  <c r="Z125" i="55"/>
  <c r="Z134" i="55"/>
  <c r="Z143" i="55"/>
  <c r="O180" i="55"/>
  <c r="AA180" i="55" s="1"/>
  <c r="Z188" i="55"/>
  <c r="S199" i="55"/>
  <c r="O200" i="55"/>
  <c r="R252" i="55"/>
  <c r="Z255" i="55"/>
  <c r="O254" i="55"/>
  <c r="Y255" i="55"/>
  <c r="X255" i="55"/>
  <c r="Y263" i="55"/>
  <c r="O272" i="55"/>
  <c r="AA272" i="55" s="1"/>
  <c r="Z274" i="55"/>
  <c r="Y274" i="55"/>
  <c r="X274" i="55"/>
  <c r="O284" i="55"/>
  <c r="Y284" i="55" s="1"/>
  <c r="X285" i="55"/>
  <c r="Y289" i="55"/>
  <c r="AA299" i="55"/>
  <c r="Z299" i="55"/>
  <c r="O298" i="55"/>
  <c r="Y299" i="55"/>
  <c r="X299" i="55"/>
  <c r="AA342" i="55"/>
  <c r="Z342" i="55"/>
  <c r="Y358" i="55"/>
  <c r="Q352" i="55"/>
  <c r="Q376" i="55"/>
  <c r="Q369" i="55" s="1"/>
  <c r="Y386" i="55"/>
  <c r="AA386" i="55"/>
  <c r="AA387" i="55"/>
  <c r="X387" i="55"/>
  <c r="Z387" i="55"/>
  <c r="Y387" i="55"/>
  <c r="Z389" i="55"/>
  <c r="X389" i="55"/>
  <c r="L39" i="56"/>
  <c r="AB39" i="56" s="1"/>
  <c r="AB40" i="56"/>
  <c r="Z99" i="56"/>
  <c r="J98" i="56"/>
  <c r="Z98" i="56" s="1"/>
  <c r="Z37" i="55"/>
  <c r="Q48" i="55"/>
  <c r="Z73" i="55"/>
  <c r="Q76" i="55"/>
  <c r="Z84" i="55"/>
  <c r="O97" i="55"/>
  <c r="Z100" i="55"/>
  <c r="Z115" i="55"/>
  <c r="O128" i="55"/>
  <c r="Z129" i="55"/>
  <c r="AA134" i="55"/>
  <c r="Z138" i="55"/>
  <c r="AA164" i="55"/>
  <c r="AA181" i="55"/>
  <c r="Y181" i="55"/>
  <c r="X181" i="55"/>
  <c r="Z185" i="55"/>
  <c r="O184" i="55"/>
  <c r="Z184" i="55" s="1"/>
  <c r="X185" i="55"/>
  <c r="AA191" i="55"/>
  <c r="Z191" i="55"/>
  <c r="R194" i="55"/>
  <c r="AA201" i="55"/>
  <c r="Y201" i="55"/>
  <c r="X201" i="55"/>
  <c r="V225" i="55"/>
  <c r="P235" i="55"/>
  <c r="AA242" i="55"/>
  <c r="Z242" i="55"/>
  <c r="Z254" i="55"/>
  <c r="Z288" i="55"/>
  <c r="Y288" i="55"/>
  <c r="X288" i="55"/>
  <c r="Q325" i="55"/>
  <c r="R325" i="55"/>
  <c r="AA325" i="55"/>
  <c r="P352" i="55"/>
  <c r="X355" i="55"/>
  <c r="AA360" i="55"/>
  <c r="Z360" i="55"/>
  <c r="X363" i="55"/>
  <c r="O362" i="55"/>
  <c r="Y362" i="55" s="1"/>
  <c r="AA363" i="55"/>
  <c r="L369" i="55"/>
  <c r="V370" i="55"/>
  <c r="V396" i="55"/>
  <c r="AA481" i="55"/>
  <c r="Z481" i="55"/>
  <c r="Y481" i="55"/>
  <c r="X481" i="55"/>
  <c r="O30" i="55"/>
  <c r="O29" i="55" s="1"/>
  <c r="O28" i="55" s="1"/>
  <c r="O27" i="55" s="1"/>
  <c r="Z57" i="55"/>
  <c r="X66" i="55"/>
  <c r="Z68" i="55"/>
  <c r="X77" i="55"/>
  <c r="X87" i="55"/>
  <c r="X96" i="55"/>
  <c r="X109" i="55"/>
  <c r="X118" i="55"/>
  <c r="X127" i="55"/>
  <c r="AA138" i="55"/>
  <c r="X141" i="55"/>
  <c r="X146" i="55"/>
  <c r="O160" i="55"/>
  <c r="AA160" i="55" s="1"/>
  <c r="Z162" i="55"/>
  <c r="X162" i="55"/>
  <c r="X183" i="55"/>
  <c r="Q199" i="55"/>
  <c r="X203" i="55"/>
  <c r="X209" i="55"/>
  <c r="V213" i="55"/>
  <c r="V221" i="55"/>
  <c r="Z230" i="55"/>
  <c r="O229" i="55"/>
  <c r="Y229" i="55" s="1"/>
  <c r="Y230" i="55"/>
  <c r="X230" i="55"/>
  <c r="AA250" i="55"/>
  <c r="Z250" i="55"/>
  <c r="Y250" i="55"/>
  <c r="X250" i="55"/>
  <c r="AA255" i="55"/>
  <c r="L252" i="55"/>
  <c r="L234" i="55" s="1"/>
  <c r="O267" i="55"/>
  <c r="AA267" i="55" s="1"/>
  <c r="Z269" i="55"/>
  <c r="Y269" i="55"/>
  <c r="X269" i="55"/>
  <c r="Y272" i="55"/>
  <c r="AA274" i="55"/>
  <c r="Y298" i="55"/>
  <c r="AA300" i="55"/>
  <c r="Z300" i="55"/>
  <c r="AA316" i="55"/>
  <c r="Y333" i="55"/>
  <c r="AA333" i="55"/>
  <c r="Z333" i="55"/>
  <c r="X333" i="55"/>
  <c r="X342" i="55"/>
  <c r="Y349" i="55"/>
  <c r="AA349" i="55"/>
  <c r="Z349" i="55"/>
  <c r="X349" i="55"/>
  <c r="X365" i="55"/>
  <c r="AA365" i="55"/>
  <c r="Z365" i="55"/>
  <c r="Y365" i="55"/>
  <c r="AA377" i="55"/>
  <c r="S376" i="55"/>
  <c r="S369" i="55" s="1"/>
  <c r="U384" i="55"/>
  <c r="AA428" i="55"/>
  <c r="Z428" i="55"/>
  <c r="Y428" i="55"/>
  <c r="X428" i="55"/>
  <c r="AB6" i="56"/>
  <c r="L4" i="56"/>
  <c r="Y11" i="56"/>
  <c r="I10" i="56"/>
  <c r="Y10" i="56" s="1"/>
  <c r="Y12" i="56"/>
  <c r="K27" i="56"/>
  <c r="AA28" i="56"/>
  <c r="U107" i="55"/>
  <c r="AA158" i="55"/>
  <c r="Y158" i="55"/>
  <c r="X158" i="55"/>
  <c r="Z181" i="55"/>
  <c r="Z183" i="55"/>
  <c r="Y185" i="55"/>
  <c r="X191" i="55"/>
  <c r="T195" i="55"/>
  <c r="T194" i="55" s="1"/>
  <c r="T193" i="55" s="1"/>
  <c r="Z201" i="55"/>
  <c r="Z203" i="55"/>
  <c r="P205" i="55"/>
  <c r="Z209" i="55"/>
  <c r="Q212" i="55"/>
  <c r="O213" i="55"/>
  <c r="Z213" i="55" s="1"/>
  <c r="AA226" i="55"/>
  <c r="Z226" i="55"/>
  <c r="O225" i="55"/>
  <c r="AA225" i="55" s="1"/>
  <c r="Y226" i="55"/>
  <c r="X226" i="55"/>
  <c r="R235" i="55"/>
  <c r="Z236" i="55"/>
  <c r="X242" i="55"/>
  <c r="O276" i="55"/>
  <c r="Y276" i="55" s="1"/>
  <c r="Z283" i="55"/>
  <c r="Y283" i="55"/>
  <c r="X283" i="55"/>
  <c r="AA288" i="55"/>
  <c r="N293" i="55"/>
  <c r="O295" i="55"/>
  <c r="L294" i="55"/>
  <c r="L293" i="55" s="1"/>
  <c r="Z312" i="55"/>
  <c r="Y312" i="55"/>
  <c r="X312" i="55"/>
  <c r="X316" i="55"/>
  <c r="Z317" i="55"/>
  <c r="Y317" i="55"/>
  <c r="X317" i="55"/>
  <c r="X325" i="55"/>
  <c r="AA336" i="55"/>
  <c r="Z336" i="55"/>
  <c r="Y336" i="55"/>
  <c r="X336" i="55"/>
  <c r="Y342" i="55"/>
  <c r="X360" i="55"/>
  <c r="Y363" i="55"/>
  <c r="Y368" i="55"/>
  <c r="AA368" i="55"/>
  <c r="Z368" i="55"/>
  <c r="X368" i="55"/>
  <c r="Y375" i="55"/>
  <c r="AA375" i="55"/>
  <c r="Z375" i="55"/>
  <c r="X375" i="55"/>
  <c r="Z386" i="55"/>
  <c r="R385" i="55"/>
  <c r="Z423" i="55"/>
  <c r="Y423" i="55"/>
  <c r="X423" i="55"/>
  <c r="AA423" i="55"/>
  <c r="M4" i="56"/>
  <c r="L10" i="56"/>
  <c r="AB10" i="56" s="1"/>
  <c r="AB11" i="56"/>
  <c r="Y76" i="56"/>
  <c r="B25" i="57"/>
  <c r="B24" i="57" s="1"/>
  <c r="B15" i="57" s="1"/>
  <c r="I81" i="56"/>
  <c r="Y163" i="55"/>
  <c r="AA169" i="55"/>
  <c r="Y177" i="55"/>
  <c r="AA178" i="55"/>
  <c r="Y186" i="55"/>
  <c r="AA187" i="55"/>
  <c r="Y196" i="55"/>
  <c r="Z197" i="55"/>
  <c r="AA214" i="55"/>
  <c r="Y222" i="55"/>
  <c r="AA223" i="55"/>
  <c r="Y231" i="55"/>
  <c r="AA232" i="55"/>
  <c r="Y237" i="55"/>
  <c r="AA238" i="55"/>
  <c r="Y246" i="55"/>
  <c r="AA247" i="55"/>
  <c r="Y256" i="55"/>
  <c r="AA257" i="55"/>
  <c r="Y270" i="55"/>
  <c r="AA281" i="55"/>
  <c r="AA286" i="55"/>
  <c r="AA296" i="55"/>
  <c r="AA305" i="55"/>
  <c r="AA319" i="55"/>
  <c r="X328" i="55"/>
  <c r="Z331" i="55"/>
  <c r="Z339" i="55"/>
  <c r="Z347" i="55"/>
  <c r="Z354" i="55"/>
  <c r="Z355" i="55"/>
  <c r="Y366" i="55"/>
  <c r="Z373" i="55"/>
  <c r="V377" i="55"/>
  <c r="U376" i="55"/>
  <c r="V376" i="55" s="1"/>
  <c r="Y383" i="55"/>
  <c r="V389" i="55"/>
  <c r="AA391" i="55"/>
  <c r="Z391" i="55"/>
  <c r="Y391" i="55"/>
  <c r="Z419" i="55"/>
  <c r="Y419" i="55"/>
  <c r="X419" i="55"/>
  <c r="Z435" i="55"/>
  <c r="Y435" i="55"/>
  <c r="X435" i="55"/>
  <c r="AA477" i="55"/>
  <c r="Z477" i="55"/>
  <c r="O476" i="55"/>
  <c r="Y477" i="55"/>
  <c r="V520" i="55"/>
  <c r="T519" i="55"/>
  <c r="V519" i="55" s="1"/>
  <c r="L993" i="55"/>
  <c r="O993" i="55" s="1"/>
  <c r="O994" i="55"/>
  <c r="V994" i="55" s="1"/>
  <c r="U993" i="55"/>
  <c r="V993" i="55" s="1"/>
  <c r="O4" i="56"/>
  <c r="AA11" i="56"/>
  <c r="K10" i="56"/>
  <c r="AA10" i="56" s="1"/>
  <c r="S9" i="56"/>
  <c r="S4" i="56" s="1"/>
  <c r="P26" i="56"/>
  <c r="AB27" i="56"/>
  <c r="P212" i="55"/>
  <c r="X236" i="55"/>
  <c r="R271" i="55"/>
  <c r="AA358" i="55"/>
  <c r="O370" i="55"/>
  <c r="X370" i="55" s="1"/>
  <c r="Q385" i="55"/>
  <c r="L385" i="55"/>
  <c r="L384" i="55" s="1"/>
  <c r="T385" i="55"/>
  <c r="T384" i="55" s="1"/>
  <c r="AA397" i="55"/>
  <c r="Y397" i="55"/>
  <c r="AA401" i="55"/>
  <c r="Z401" i="55"/>
  <c r="Y401" i="55"/>
  <c r="AA424" i="55"/>
  <c r="Z424" i="55"/>
  <c r="Y424" i="55"/>
  <c r="AA440" i="55"/>
  <c r="Z440" i="55"/>
  <c r="Y440" i="55"/>
  <c r="AA445" i="55"/>
  <c r="Z445" i="55"/>
  <c r="O444" i="55"/>
  <c r="Y444" i="55" s="1"/>
  <c r="X445" i="55"/>
  <c r="AA449" i="55"/>
  <c r="Z449" i="55"/>
  <c r="X449" i="55"/>
  <c r="AA453" i="55"/>
  <c r="Z453" i="55"/>
  <c r="X453" i="55"/>
  <c r="AA457" i="55"/>
  <c r="Z457" i="55"/>
  <c r="X457" i="55"/>
  <c r="AA461" i="55"/>
  <c r="Z461" i="55"/>
  <c r="X461" i="55"/>
  <c r="AA465" i="55"/>
  <c r="Z465" i="55"/>
  <c r="X465" i="55"/>
  <c r="AA469" i="55"/>
  <c r="Z469" i="55"/>
  <c r="X469" i="55"/>
  <c r="AA473" i="55"/>
  <c r="Z473" i="55"/>
  <c r="X473" i="55"/>
  <c r="Z492" i="55"/>
  <c r="Y492" i="55"/>
  <c r="X492" i="55"/>
  <c r="AA501" i="55"/>
  <c r="Z501" i="55"/>
  <c r="Y501" i="55"/>
  <c r="X501" i="55"/>
  <c r="O508" i="55"/>
  <c r="AA510" i="55"/>
  <c r="Z510" i="55"/>
  <c r="Y510" i="55"/>
  <c r="X510" i="55"/>
  <c r="AB12" i="56"/>
  <c r="AA31" i="56"/>
  <c r="AA35" i="56"/>
  <c r="AA72" i="56"/>
  <c r="L183" i="56"/>
  <c r="AB184" i="56"/>
  <c r="T187" i="56"/>
  <c r="T182" i="56" s="1"/>
  <c r="AB188" i="56"/>
  <c r="Q326" i="55"/>
  <c r="L352" i="55"/>
  <c r="L351" i="55" s="1"/>
  <c r="T352" i="55"/>
  <c r="Z415" i="55"/>
  <c r="Y415" i="55"/>
  <c r="X415" i="55"/>
  <c r="Z431" i="55"/>
  <c r="Y431" i="55"/>
  <c r="X431" i="55"/>
  <c r="Z488" i="55"/>
  <c r="Y488" i="55"/>
  <c r="X488" i="55"/>
  <c r="AA521" i="55"/>
  <c r="Z521" i="55"/>
  <c r="O520" i="55"/>
  <c r="X520" i="55" s="1"/>
  <c r="Y521" i="55"/>
  <c r="X521" i="55"/>
  <c r="AA525" i="55"/>
  <c r="Z525" i="55"/>
  <c r="Y525" i="55"/>
  <c r="X525" i="55"/>
  <c r="AB31" i="56"/>
  <c r="AB35" i="56"/>
  <c r="R65" i="56"/>
  <c r="R64" i="56" s="1"/>
  <c r="Z66" i="56"/>
  <c r="J71" i="56"/>
  <c r="Z72" i="56"/>
  <c r="I85" i="56"/>
  <c r="Y85" i="56" s="1"/>
  <c r="Y86" i="56"/>
  <c r="B31" i="57"/>
  <c r="B30" i="57" s="1"/>
  <c r="I91" i="56"/>
  <c r="X161" i="55"/>
  <c r="Y166" i="55"/>
  <c r="X170" i="55"/>
  <c r="Y189" i="55"/>
  <c r="X204" i="55"/>
  <c r="Y210" i="55"/>
  <c r="X215" i="55"/>
  <c r="Y220" i="55"/>
  <c r="X224" i="55"/>
  <c r="X239" i="55"/>
  <c r="Y249" i="55"/>
  <c r="Y259" i="55"/>
  <c r="U262" i="55"/>
  <c r="Y264" i="55"/>
  <c r="X268" i="55"/>
  <c r="X273" i="55"/>
  <c r="Y278" i="55"/>
  <c r="X282" i="55"/>
  <c r="X287" i="55"/>
  <c r="X297" i="55"/>
  <c r="X311" i="55"/>
  <c r="R326" i="55"/>
  <c r="Z326" i="55" s="1"/>
  <c r="X335" i="55"/>
  <c r="X343" i="55"/>
  <c r="V358" i="55"/>
  <c r="X361" i="55"/>
  <c r="X367" i="55"/>
  <c r="X379" i="55"/>
  <c r="V386" i="55"/>
  <c r="X397" i="55"/>
  <c r="X401" i="55"/>
  <c r="AA420" i="55"/>
  <c r="Z420" i="55"/>
  <c r="Y420" i="55"/>
  <c r="X424" i="55"/>
  <c r="AA436" i="55"/>
  <c r="Z436" i="55"/>
  <c r="Y436" i="55"/>
  <c r="X440" i="55"/>
  <c r="Y445" i="55"/>
  <c r="Y449" i="55"/>
  <c r="Y453" i="55"/>
  <c r="Y457" i="55"/>
  <c r="Z484" i="55"/>
  <c r="Y484" i="55"/>
  <c r="X484" i="55"/>
  <c r="AA497" i="55"/>
  <c r="Z497" i="55"/>
  <c r="Y497" i="55"/>
  <c r="X497" i="55"/>
  <c r="L1000" i="55"/>
  <c r="O1000" i="55" s="1"/>
  <c r="O1001" i="55"/>
  <c r="V1001" i="55" s="1"/>
  <c r="U1000" i="55"/>
  <c r="V1000" i="55" s="1"/>
  <c r="Y6" i="56"/>
  <c r="Z9" i="56"/>
  <c r="N4" i="56"/>
  <c r="B13" i="57"/>
  <c r="EI13" i="57" s="1"/>
  <c r="I60" i="56"/>
  <c r="Y63" i="56"/>
  <c r="AA71" i="56"/>
  <c r="K70" i="56"/>
  <c r="J85" i="56"/>
  <c r="Z85" i="56" s="1"/>
  <c r="Z86" i="56"/>
  <c r="Y92" i="56"/>
  <c r="Y94" i="56"/>
  <c r="AB107" i="56"/>
  <c r="P112" i="56"/>
  <c r="P106" i="56" s="1"/>
  <c r="AB113" i="56"/>
  <c r="L126" i="56"/>
  <c r="AB127" i="56"/>
  <c r="Y390" i="55"/>
  <c r="X390" i="55"/>
  <c r="AA406" i="55"/>
  <c r="Z406" i="55"/>
  <c r="X406" i="55"/>
  <c r="O402" i="55"/>
  <c r="Z427" i="55"/>
  <c r="Y427" i="55"/>
  <c r="X427" i="55"/>
  <c r="Z443" i="55"/>
  <c r="Y443" i="55"/>
  <c r="X443" i="55"/>
  <c r="Z444" i="55"/>
  <c r="Z480" i="55"/>
  <c r="Y480" i="55"/>
  <c r="X480" i="55"/>
  <c r="AA493" i="55"/>
  <c r="Z493" i="55"/>
  <c r="Y493" i="55"/>
  <c r="X26" i="56"/>
  <c r="X4" i="56" s="1"/>
  <c r="AA51" i="56"/>
  <c r="L59" i="56"/>
  <c r="AB60" i="56"/>
  <c r="AA95" i="56"/>
  <c r="W64" i="56"/>
  <c r="L122" i="56"/>
  <c r="AB123" i="56"/>
  <c r="O310" i="55"/>
  <c r="X310" i="55" s="1"/>
  <c r="X326" i="55"/>
  <c r="X329" i="55"/>
  <c r="Y332" i="55"/>
  <c r="AA335" i="55"/>
  <c r="X337" i="55"/>
  <c r="Y340" i="55"/>
  <c r="AA343" i="55"/>
  <c r="X345" i="55"/>
  <c r="Y348" i="55"/>
  <c r="AA361" i="55"/>
  <c r="Z367" i="55"/>
  <c r="X371" i="55"/>
  <c r="Y374" i="55"/>
  <c r="Z379" i="55"/>
  <c r="P385" i="55"/>
  <c r="AA396" i="55"/>
  <c r="Y399" i="55"/>
  <c r="Z409" i="55"/>
  <c r="Y409" i="55"/>
  <c r="X409" i="55"/>
  <c r="AA416" i="55"/>
  <c r="Z416" i="55"/>
  <c r="Y416" i="55"/>
  <c r="X420" i="55"/>
  <c r="AA432" i="55"/>
  <c r="Z432" i="55"/>
  <c r="Y432" i="55"/>
  <c r="X436" i="55"/>
  <c r="AA444" i="55"/>
  <c r="AA484" i="55"/>
  <c r="AA489" i="55"/>
  <c r="Z489" i="55"/>
  <c r="Y489" i="55"/>
  <c r="AA530" i="55"/>
  <c r="Z530" i="55"/>
  <c r="Y530" i="55"/>
  <c r="X530" i="55"/>
  <c r="Z11" i="56"/>
  <c r="J4" i="56"/>
  <c r="K39" i="56"/>
  <c r="S39" i="56"/>
  <c r="Q51" i="56"/>
  <c r="U51" i="56"/>
  <c r="AB95" i="56"/>
  <c r="X64" i="56"/>
  <c r="X50" i="56" s="1"/>
  <c r="U106" i="56"/>
  <c r="AA398" i="55"/>
  <c r="Y413" i="55"/>
  <c r="AA414" i="55"/>
  <c r="Y417" i="55"/>
  <c r="AA418" i="55"/>
  <c r="Y421" i="55"/>
  <c r="AA422" i="55"/>
  <c r="Y425" i="55"/>
  <c r="AA426" i="55"/>
  <c r="Y429" i="55"/>
  <c r="AA430" i="55"/>
  <c r="Y433" i="55"/>
  <c r="AA434" i="55"/>
  <c r="Y437" i="55"/>
  <c r="AA438" i="55"/>
  <c r="Y441" i="55"/>
  <c r="AA442" i="55"/>
  <c r="AA479" i="55"/>
  <c r="AA483" i="55"/>
  <c r="AA487" i="55"/>
  <c r="AA491" i="55"/>
  <c r="AA495" i="55"/>
  <c r="AA499" i="55"/>
  <c r="AA503" i="55"/>
  <c r="AA507" i="55"/>
  <c r="Z512" i="55"/>
  <c r="O516" i="55"/>
  <c r="Z516" i="55" s="1"/>
  <c r="AA528" i="55"/>
  <c r="AA532" i="55"/>
  <c r="J10" i="56"/>
  <c r="Z10" i="56" s="1"/>
  <c r="I27" i="56"/>
  <c r="I39" i="56"/>
  <c r="M64" i="56"/>
  <c r="AB71" i="56"/>
  <c r="Z75" i="56"/>
  <c r="Z76" i="56"/>
  <c r="AA81" i="56"/>
  <c r="AB90" i="56"/>
  <c r="Y95" i="56"/>
  <c r="Y96" i="56"/>
  <c r="AA100" i="56"/>
  <c r="B35" i="57"/>
  <c r="B34" i="57" s="1"/>
  <c r="B33" i="57" s="1"/>
  <c r="Y110" i="56"/>
  <c r="I109" i="56"/>
  <c r="U148" i="56"/>
  <c r="Y168" i="56"/>
  <c r="I167" i="56"/>
  <c r="Y167" i="56" s="1"/>
  <c r="AA12" i="56"/>
  <c r="Z27" i="56"/>
  <c r="Z52" i="56"/>
  <c r="Z53" i="56"/>
  <c r="AA75" i="56"/>
  <c r="AA76" i="56"/>
  <c r="Z95" i="56"/>
  <c r="J94" i="56"/>
  <c r="Z94" i="56" s="1"/>
  <c r="Y150" i="56"/>
  <c r="I149" i="56"/>
  <c r="Y151" i="56"/>
  <c r="X395" i="55"/>
  <c r="X405" i="55"/>
  <c r="X448" i="55"/>
  <c r="X452" i="55"/>
  <c r="X456" i="55"/>
  <c r="X460" i="55"/>
  <c r="X464" i="55"/>
  <c r="X468" i="55"/>
  <c r="X472" i="55"/>
  <c r="X509" i="55"/>
  <c r="AA54" i="56"/>
  <c r="Z65" i="56"/>
  <c r="AA66" i="56"/>
  <c r="Y77" i="56"/>
  <c r="Y87" i="56"/>
  <c r="AA96" i="56"/>
  <c r="M106" i="56"/>
  <c r="Y135" i="56"/>
  <c r="R148" i="56"/>
  <c r="X496" i="55"/>
  <c r="X500" i="55"/>
  <c r="X504" i="55"/>
  <c r="X514" i="55"/>
  <c r="X524" i="55"/>
  <c r="X529" i="55"/>
  <c r="T51" i="56"/>
  <c r="Z54" i="56"/>
  <c r="N64" i="56"/>
  <c r="Z77" i="56"/>
  <c r="Z87" i="56"/>
  <c r="AB96" i="56"/>
  <c r="AB102" i="56"/>
  <c r="AB103" i="56"/>
  <c r="V106" i="56"/>
  <c r="V50" i="56" s="1"/>
  <c r="Y116" i="56"/>
  <c r="O399" i="55"/>
  <c r="AA399" i="55" s="1"/>
  <c r="X404" i="55"/>
  <c r="Z405" i="55"/>
  <c r="Z448" i="55"/>
  <c r="Z452" i="55"/>
  <c r="Z456" i="55"/>
  <c r="Z460" i="55"/>
  <c r="Z464" i="55"/>
  <c r="Z468" i="55"/>
  <c r="Z472" i="55"/>
  <c r="Y496" i="55"/>
  <c r="Y500" i="55"/>
  <c r="Y504" i="55"/>
  <c r="Y514" i="55"/>
  <c r="Y524" i="55"/>
  <c r="Y529" i="55"/>
  <c r="AA53" i="56"/>
  <c r="Z59" i="56"/>
  <c r="O64" i="56"/>
  <c r="AA98" i="56"/>
  <c r="AA99" i="56"/>
  <c r="Y103" i="56"/>
  <c r="Y104" i="56"/>
  <c r="I121" i="56"/>
  <c r="Y121" i="56" s="1"/>
  <c r="Y122" i="56"/>
  <c r="U511" i="55"/>
  <c r="J51" i="56"/>
  <c r="AB53" i="56"/>
  <c r="AA59" i="56"/>
  <c r="Q64" i="56"/>
  <c r="Z67" i="56"/>
  <c r="Z79" i="56"/>
  <c r="Z80" i="56"/>
  <c r="AB86" i="56"/>
  <c r="AB91" i="56"/>
  <c r="V64" i="56"/>
  <c r="AB98" i="56"/>
  <c r="AB99" i="56"/>
  <c r="Z103" i="56"/>
  <c r="J102" i="56"/>
  <c r="Z102" i="56" s="1"/>
  <c r="Y117" i="56"/>
  <c r="Y118" i="56"/>
  <c r="M129" i="56"/>
  <c r="Y131" i="56"/>
  <c r="I130" i="56"/>
  <c r="M148" i="56"/>
  <c r="I126" i="56"/>
  <c r="AB131" i="56"/>
  <c r="W148" i="56"/>
  <c r="Z151" i="56"/>
  <c r="I195" i="56"/>
  <c r="Y195" i="56" s="1"/>
  <c r="Y196" i="56"/>
  <c r="AA121" i="56"/>
  <c r="AA125" i="56"/>
  <c r="Y132" i="56"/>
  <c r="AA135" i="56"/>
  <c r="AA143" i="56"/>
  <c r="Y146" i="56"/>
  <c r="Y154" i="56"/>
  <c r="Z159" i="56"/>
  <c r="AA162" i="56"/>
  <c r="AA163" i="56"/>
  <c r="AB167" i="56"/>
  <c r="Y188" i="56"/>
  <c r="I187" i="56"/>
  <c r="Y187" i="56" s="1"/>
  <c r="I65" i="56"/>
  <c r="I71" i="56"/>
  <c r="L76" i="56"/>
  <c r="L80" i="56"/>
  <c r="Z96" i="56"/>
  <c r="Z100" i="56"/>
  <c r="Z104" i="56"/>
  <c r="Y136" i="56"/>
  <c r="AB150" i="56"/>
  <c r="L149" i="56"/>
  <c r="T148" i="56"/>
  <c r="AB153" i="56"/>
  <c r="AB154" i="56"/>
  <c r="AA158" i="56"/>
  <c r="Y163" i="56"/>
  <c r="I162" i="56"/>
  <c r="Y162" i="56" s="1"/>
  <c r="AA122" i="56"/>
  <c r="AA126" i="56"/>
  <c r="AA130" i="56"/>
  <c r="AA131" i="56"/>
  <c r="AA136" i="56"/>
  <c r="AA144" i="56"/>
  <c r="AA145" i="56"/>
  <c r="Y155" i="56"/>
  <c r="Z155" i="56"/>
  <c r="Z162" i="56"/>
  <c r="Z163" i="56"/>
  <c r="AA167" i="56"/>
  <c r="Y174" i="56"/>
  <c r="O175" i="56"/>
  <c r="AA176" i="56"/>
  <c r="I179" i="56"/>
  <c r="Y180" i="56"/>
  <c r="Z189" i="56"/>
  <c r="AA113" i="56"/>
  <c r="AB118" i="56"/>
  <c r="AB146" i="56"/>
  <c r="O148" i="56"/>
  <c r="X148" i="56"/>
  <c r="Z154" i="56"/>
  <c r="J174" i="56"/>
  <c r="Z175" i="56"/>
  <c r="Z179" i="56"/>
  <c r="Z188" i="56"/>
  <c r="J187" i="56"/>
  <c r="Y56" i="56"/>
  <c r="Z112" i="56"/>
  <c r="Z116" i="56"/>
  <c r="Z122" i="56"/>
  <c r="Z123" i="56"/>
  <c r="Z126" i="56"/>
  <c r="Z127" i="56"/>
  <c r="Z130" i="56"/>
  <c r="Z136" i="56"/>
  <c r="Z137" i="56"/>
  <c r="I153" i="56"/>
  <c r="Y153" i="56" s="1"/>
  <c r="Y158" i="56"/>
  <c r="AA159" i="56"/>
  <c r="Z178" i="56"/>
  <c r="EA99" i="57"/>
  <c r="J109" i="56"/>
  <c r="K112" i="56"/>
  <c r="AA112" i="56" s="1"/>
  <c r="AA123" i="56"/>
  <c r="AA127" i="56"/>
  <c r="AB130" i="56"/>
  <c r="AA137" i="56"/>
  <c r="AB159" i="56"/>
  <c r="N173" i="56"/>
  <c r="J158" i="56"/>
  <c r="Z158" i="56" s="1"/>
  <c r="Y159" i="56"/>
  <c r="AA168" i="56"/>
  <c r="S173" i="56"/>
  <c r="R182" i="56"/>
  <c r="Z195" i="56"/>
  <c r="Q3" i="57"/>
  <c r="EE9" i="57"/>
  <c r="EI9" i="57" s="1"/>
  <c r="CU6" i="57"/>
  <c r="CU5" i="57" s="1"/>
  <c r="CU4" i="57" s="1"/>
  <c r="AB151" i="56"/>
  <c r="J167" i="56"/>
  <c r="Z167" i="56" s="1"/>
  <c r="Q173" i="56"/>
  <c r="AB181" i="56"/>
  <c r="L180" i="56"/>
  <c r="D5" i="57"/>
  <c r="EF6" i="57"/>
  <c r="AA160" i="56"/>
  <c r="AA170" i="56"/>
  <c r="AA169" i="56" s="1"/>
  <c r="AB176" i="56"/>
  <c r="U182" i="56"/>
  <c r="I191" i="56"/>
  <c r="Y191" i="56" s="1"/>
  <c r="Y192" i="56"/>
  <c r="Z193" i="56"/>
  <c r="J192" i="56"/>
  <c r="F4" i="57"/>
  <c r="AA154" i="56"/>
  <c r="AA155" i="56"/>
  <c r="Y175" i="56"/>
  <c r="V173" i="56"/>
  <c r="I183" i="56"/>
  <c r="Y184" i="56"/>
  <c r="W182" i="56"/>
  <c r="BM3" i="57"/>
  <c r="EH6" i="57"/>
  <c r="EE19" i="57"/>
  <c r="EI19" i="57" s="1"/>
  <c r="C15" i="57"/>
  <c r="S14" i="57"/>
  <c r="S3" i="57" s="1"/>
  <c r="CU15" i="57"/>
  <c r="DK15" i="57"/>
  <c r="DS15" i="57"/>
  <c r="EA15" i="57"/>
  <c r="EA14" i="57" s="1"/>
  <c r="EA3" i="57" s="1"/>
  <c r="Y164" i="56"/>
  <c r="Z196" i="56"/>
  <c r="E4" i="57"/>
  <c r="EG10" i="57"/>
  <c r="EI30" i="57"/>
  <c r="E15" i="57"/>
  <c r="EG19" i="57"/>
  <c r="E58" i="57"/>
  <c r="EG59" i="57"/>
  <c r="AA164" i="56"/>
  <c r="K179" i="56"/>
  <c r="X182" i="56"/>
  <c r="C4" i="57"/>
  <c r="AW99" i="57"/>
  <c r="AW3" i="57"/>
  <c r="Z197" i="56"/>
  <c r="B10" i="57"/>
  <c r="DD14" i="57"/>
  <c r="EE16" i="57"/>
  <c r="EI16" i="57" s="1"/>
  <c r="Z180" i="56"/>
  <c r="P182" i="56"/>
  <c r="Z185" i="56"/>
  <c r="Y193" i="56"/>
  <c r="H15" i="57"/>
  <c r="H14" i="57" s="1"/>
  <c r="H99" i="57" s="1"/>
  <c r="P15" i="57"/>
  <c r="P14" i="57" s="1"/>
  <c r="X15" i="57"/>
  <c r="X14" i="57" s="1"/>
  <c r="X3" i="57" s="1"/>
  <c r="AF15" i="57"/>
  <c r="AN15" i="57"/>
  <c r="AV15" i="57"/>
  <c r="BD15" i="57"/>
  <c r="BL15" i="57"/>
  <c r="BT15" i="57"/>
  <c r="CB15" i="57"/>
  <c r="CJ15" i="57"/>
  <c r="CR15" i="57"/>
  <c r="CZ15" i="57"/>
  <c r="DH15" i="57"/>
  <c r="DH14" i="57" s="1"/>
  <c r="DH99" i="57" s="1"/>
  <c r="DP15" i="57"/>
  <c r="DX15" i="57"/>
  <c r="DO14" i="57"/>
  <c r="AO34" i="57"/>
  <c r="AO33" i="57" s="1"/>
  <c r="AO14" i="57" s="1"/>
  <c r="AO99" i="57" s="1"/>
  <c r="EG35" i="57"/>
  <c r="EE64" i="57"/>
  <c r="EI64" i="57" s="1"/>
  <c r="C58" i="57"/>
  <c r="ED14" i="57"/>
  <c r="ED99" i="57" s="1"/>
  <c r="AQ33" i="57"/>
  <c r="EI51" i="57"/>
  <c r="C55" i="57"/>
  <c r="EE55" i="57" s="1"/>
  <c r="EI55" i="57" s="1"/>
  <c r="EE56" i="57"/>
  <c r="EI56" i="57" s="1"/>
  <c r="EE68" i="57"/>
  <c r="EI68" i="57" s="1"/>
  <c r="CM66" i="57"/>
  <c r="EE66" i="57" s="1"/>
  <c r="EI66" i="57" s="1"/>
  <c r="DI14" i="57"/>
  <c r="DI3" i="57" s="1"/>
  <c r="K15" i="57"/>
  <c r="AQ15" i="57"/>
  <c r="BW15" i="57"/>
  <c r="DC15" i="57"/>
  <c r="EG43" i="57"/>
  <c r="EF66" i="57"/>
  <c r="AA196" i="56"/>
  <c r="AA197" i="56"/>
  <c r="J5" i="57"/>
  <c r="J4" i="57" s="1"/>
  <c r="R5" i="57"/>
  <c r="R4" i="57" s="1"/>
  <c r="Z5" i="57"/>
  <c r="Z4" i="57" s="1"/>
  <c r="AH5" i="57"/>
  <c r="AH4" i="57" s="1"/>
  <c r="AP5" i="57"/>
  <c r="AP4" i="57" s="1"/>
  <c r="AX5" i="57"/>
  <c r="AX4" i="57" s="1"/>
  <c r="BF5" i="57"/>
  <c r="BF4" i="57" s="1"/>
  <c r="BN5" i="57"/>
  <c r="BN4" i="57" s="1"/>
  <c r="BV5" i="57"/>
  <c r="BV4" i="57" s="1"/>
  <c r="CD5" i="57"/>
  <c r="CD4" i="57" s="1"/>
  <c r="CL5" i="57"/>
  <c r="CL4" i="57" s="1"/>
  <c r="CT5" i="57"/>
  <c r="CT4" i="57" s="1"/>
  <c r="DB5" i="57"/>
  <c r="DB4" i="57" s="1"/>
  <c r="DJ5" i="57"/>
  <c r="DJ4" i="57" s="1"/>
  <c r="DR5" i="57"/>
  <c r="DR4" i="57" s="1"/>
  <c r="DZ5" i="57"/>
  <c r="DZ4" i="57" s="1"/>
  <c r="B6" i="57"/>
  <c r="AB15" i="57"/>
  <c r="BH15" i="57"/>
  <c r="CN15" i="57"/>
  <c r="DT15" i="57"/>
  <c r="EG24" i="57"/>
  <c r="S182" i="56"/>
  <c r="AA184" i="56"/>
  <c r="AA185" i="56"/>
  <c r="AB195" i="56"/>
  <c r="AB197" i="56"/>
  <c r="CM6" i="57"/>
  <c r="J15" i="57"/>
  <c r="EE25" i="57"/>
  <c r="G24" i="57"/>
  <c r="EE24" i="57" s="1"/>
  <c r="EH35" i="57"/>
  <c r="EG41" i="57"/>
  <c r="EG46" i="57"/>
  <c r="E45" i="57"/>
  <c r="EG69" i="57"/>
  <c r="C33" i="57"/>
  <c r="K33" i="57"/>
  <c r="S33" i="57"/>
  <c r="AA33" i="57"/>
  <c r="AI33" i="57"/>
  <c r="AU33" i="57"/>
  <c r="BC33" i="57"/>
  <c r="BK33" i="57"/>
  <c r="BS33" i="57"/>
  <c r="BS14" i="57" s="1"/>
  <c r="CA33" i="57"/>
  <c r="CI33" i="57"/>
  <c r="CI14" i="57" s="1"/>
  <c r="CQ33" i="57"/>
  <c r="CQ14" i="57" s="1"/>
  <c r="CQ3" i="57" s="1"/>
  <c r="CY33" i="57"/>
  <c r="DG33" i="57"/>
  <c r="DG14" i="57" s="1"/>
  <c r="DO33" i="57"/>
  <c r="DW33" i="57"/>
  <c r="EI43" i="57"/>
  <c r="EI31" i="57"/>
  <c r="AV33" i="57"/>
  <c r="BD33" i="57"/>
  <c r="BL33" i="57"/>
  <c r="BT33" i="57"/>
  <c r="CB33" i="57"/>
  <c r="CJ33" i="57"/>
  <c r="CR33" i="57"/>
  <c r="CZ33" i="57"/>
  <c r="DH33" i="57"/>
  <c r="DP33" i="57"/>
  <c r="DX33" i="57"/>
  <c r="EF34" i="57"/>
  <c r="EG55" i="57"/>
  <c r="CM58" i="57"/>
  <c r="EI21" i="57"/>
  <c r="G33" i="57"/>
  <c r="O33" i="57"/>
  <c r="O14" i="57" s="1"/>
  <c r="O3" i="57" s="1"/>
  <c r="W33" i="57"/>
  <c r="AE33" i="57"/>
  <c r="AY33" i="57"/>
  <c r="BG33" i="57"/>
  <c r="BG14" i="57" s="1"/>
  <c r="BO33" i="57"/>
  <c r="BO14" i="57" s="1"/>
  <c r="BO99" i="57" s="1"/>
  <c r="BO102" i="57" s="1"/>
  <c r="BW33" i="57"/>
  <c r="CE33" i="57"/>
  <c r="CM33" i="57"/>
  <c r="CM14" i="57" s="1"/>
  <c r="CU33" i="57"/>
  <c r="DC33" i="57"/>
  <c r="DK33" i="57"/>
  <c r="DS33" i="57"/>
  <c r="EA33" i="57"/>
  <c r="R45" i="57"/>
  <c r="R14" i="57" s="1"/>
  <c r="Z45" i="57"/>
  <c r="AX45" i="57"/>
  <c r="AX14" i="57" s="1"/>
  <c r="BF45" i="57"/>
  <c r="CD45" i="57"/>
  <c r="CD14" i="57" s="1"/>
  <c r="CL45" i="57"/>
  <c r="CL14" i="57" s="1"/>
  <c r="DJ45" i="57"/>
  <c r="DJ14" i="57" s="1"/>
  <c r="DR45" i="57"/>
  <c r="DZ45" i="57"/>
  <c r="EH59" i="57"/>
  <c r="F58" i="57"/>
  <c r="N58" i="57"/>
  <c r="V58" i="57"/>
  <c r="V14" i="57" s="1"/>
  <c r="AD58" i="57"/>
  <c r="AD14" i="57" s="1"/>
  <c r="AL58" i="57"/>
  <c r="AL14" i="57" s="1"/>
  <c r="AL3" i="57" s="1"/>
  <c r="AT58" i="57"/>
  <c r="AT14" i="57" s="1"/>
  <c r="BB58" i="57"/>
  <c r="BB14" i="57" s="1"/>
  <c r="BB99" i="57" s="1"/>
  <c r="BJ58" i="57"/>
  <c r="BR58" i="57"/>
  <c r="BR14" i="57" s="1"/>
  <c r="BZ58" i="57"/>
  <c r="BZ14" i="57" s="1"/>
  <c r="BZ99" i="57" s="1"/>
  <c r="CH58" i="57"/>
  <c r="CP58" i="57"/>
  <c r="CX58" i="57"/>
  <c r="DF58" i="57"/>
  <c r="DN58" i="57"/>
  <c r="DV58" i="57"/>
  <c r="DV14" i="57" s="1"/>
  <c r="DV3" i="57" s="1"/>
  <c r="ED58" i="57"/>
  <c r="EE41" i="57"/>
  <c r="EI41" i="57" s="1"/>
  <c r="EF74" i="57"/>
  <c r="EI89" i="57"/>
  <c r="EI62" i="57"/>
  <c r="EG66" i="57"/>
  <c r="EE69" i="57"/>
  <c r="EI69" i="57" s="1"/>
  <c r="H83" i="57"/>
  <c r="H82" i="57" s="1"/>
  <c r="EF92" i="57"/>
  <c r="F55" i="57"/>
  <c r="EH55" i="57" s="1"/>
  <c r="EH56" i="57"/>
  <c r="D58" i="57"/>
  <c r="D14" i="57" s="1"/>
  <c r="EF59" i="57"/>
  <c r="L58" i="57"/>
  <c r="T58" i="57"/>
  <c r="T14" i="57" s="1"/>
  <c r="AB58" i="57"/>
  <c r="AJ58" i="57"/>
  <c r="AR58" i="57"/>
  <c r="AZ58" i="57"/>
  <c r="AZ14" i="57" s="1"/>
  <c r="AZ99" i="57" s="1"/>
  <c r="BH58" i="57"/>
  <c r="BP58" i="57"/>
  <c r="BX58" i="57"/>
  <c r="CF58" i="57"/>
  <c r="CN58" i="57"/>
  <c r="CV58" i="57"/>
  <c r="DD58" i="57"/>
  <c r="DL58" i="57"/>
  <c r="DT58" i="57"/>
  <c r="EB58" i="57"/>
  <c r="EF70" i="57"/>
  <c r="O83" i="57"/>
  <c r="O82" i="57" s="1"/>
  <c r="W83" i="57"/>
  <c r="W82" i="57" s="1"/>
  <c r="AE83" i="57"/>
  <c r="AE82" i="57" s="1"/>
  <c r="AM83" i="57"/>
  <c r="AM82" i="57" s="1"/>
  <c r="AU83" i="57"/>
  <c r="AU82" i="57" s="1"/>
  <c r="BC83" i="57"/>
  <c r="BC82" i="57" s="1"/>
  <c r="BK83" i="57"/>
  <c r="BK82" i="57" s="1"/>
  <c r="BS83" i="57"/>
  <c r="BS82" i="57" s="1"/>
  <c r="CA83" i="57"/>
  <c r="CA82" i="57" s="1"/>
  <c r="CI83" i="57"/>
  <c r="CI82" i="57" s="1"/>
  <c r="CQ83" i="57"/>
  <c r="CQ82" i="57" s="1"/>
  <c r="CY83" i="57"/>
  <c r="CY82" i="57" s="1"/>
  <c r="DG83" i="57"/>
  <c r="DG82" i="57" s="1"/>
  <c r="DO83" i="57"/>
  <c r="DO82" i="57" s="1"/>
  <c r="DW83" i="57"/>
  <c r="DW82" i="57" s="1"/>
  <c r="B84" i="57"/>
  <c r="B83" i="57" s="1"/>
  <c r="B82" i="57" s="1"/>
  <c r="EI67" i="57"/>
  <c r="EI85" i="57"/>
  <c r="F82" i="57"/>
  <c r="EH70" i="57"/>
  <c r="D83" i="57"/>
  <c r="EF84" i="57"/>
  <c r="L83" i="57"/>
  <c r="L82" i="57" s="1"/>
  <c r="T83" i="57"/>
  <c r="T82" i="57" s="1"/>
  <c r="AB83" i="57"/>
  <c r="AB82" i="57" s="1"/>
  <c r="AJ83" i="57"/>
  <c r="AJ82" i="57" s="1"/>
  <c r="AR83" i="57"/>
  <c r="AR82" i="57" s="1"/>
  <c r="AZ83" i="57"/>
  <c r="AZ82" i="57" s="1"/>
  <c r="BH83" i="57"/>
  <c r="BH82" i="57" s="1"/>
  <c r="BP83" i="57"/>
  <c r="BP82" i="57" s="1"/>
  <c r="BX83" i="57"/>
  <c r="BX82" i="57" s="1"/>
  <c r="CF83" i="57"/>
  <c r="CF82" i="57" s="1"/>
  <c r="CN83" i="57"/>
  <c r="CN82" i="57" s="1"/>
  <c r="CV83" i="57"/>
  <c r="CV82" i="57" s="1"/>
  <c r="DD83" i="57"/>
  <c r="DD82" i="57" s="1"/>
  <c r="DL83" i="57"/>
  <c r="DL82" i="57" s="1"/>
  <c r="DT83" i="57"/>
  <c r="DT82" i="57" s="1"/>
  <c r="EB83" i="57"/>
  <c r="EB82" i="57" s="1"/>
  <c r="C77" i="57"/>
  <c r="G83" i="57"/>
  <c r="G82" i="57" s="1"/>
  <c r="EH78" i="57"/>
  <c r="J83" i="57"/>
  <c r="J82" i="57" s="1"/>
  <c r="EG84" i="57"/>
  <c r="DA90" i="57"/>
  <c r="DA83" i="57" s="1"/>
  <c r="DA82" i="57" s="1"/>
  <c r="Y99" i="57" l="1"/>
  <c r="Y3" i="57"/>
  <c r="CK99" i="57"/>
  <c r="CK3" i="57"/>
  <c r="DY3" i="57"/>
  <c r="DY99" i="57"/>
  <c r="BU99" i="57"/>
  <c r="BU3" i="57"/>
  <c r="AA187" i="56"/>
  <c r="K182" i="56"/>
  <c r="AA182" i="56" s="1"/>
  <c r="AR3" i="57"/>
  <c r="AR99" i="57"/>
  <c r="CY3" i="57"/>
  <c r="CY99" i="57"/>
  <c r="CY102" i="57" s="1"/>
  <c r="DQ3" i="57"/>
  <c r="DQ99" i="57"/>
  <c r="M8" i="55"/>
  <c r="M7" i="55" s="1"/>
  <c r="BI99" i="57"/>
  <c r="BI3" i="57"/>
  <c r="AN3" i="57"/>
  <c r="DD3" i="57"/>
  <c r="AA90" i="56"/>
  <c r="K89" i="56"/>
  <c r="AA89" i="56" s="1"/>
  <c r="AS14" i="57"/>
  <c r="DA3" i="57"/>
  <c r="AJ14" i="57"/>
  <c r="T4" i="56"/>
  <c r="AG14" i="57"/>
  <c r="L191" i="56"/>
  <c r="AB191" i="56" s="1"/>
  <c r="BB3" i="57"/>
  <c r="U50" i="56"/>
  <c r="U199" i="56" s="1"/>
  <c r="U202" i="56" s="1"/>
  <c r="CG14" i="57"/>
  <c r="Z280" i="55"/>
  <c r="V4" i="56"/>
  <c r="V199" i="56" s="1"/>
  <c r="V202" i="56" s="1"/>
  <c r="AB163" i="56"/>
  <c r="L162" i="56"/>
  <c r="AB162" i="56" s="1"/>
  <c r="EH82" i="57"/>
  <c r="CV14" i="57"/>
  <c r="DF14" i="57"/>
  <c r="N14" i="57"/>
  <c r="N99" i="57" s="1"/>
  <c r="AM33" i="57"/>
  <c r="AM14" i="57" s="1"/>
  <c r="AM3" i="57" s="1"/>
  <c r="BC14" i="57"/>
  <c r="BL14" i="57"/>
  <c r="BL3" i="57" s="1"/>
  <c r="Z183" i="56"/>
  <c r="AA148" i="56"/>
  <c r="AA527" i="55"/>
  <c r="Q50" i="56"/>
  <c r="Q199" i="56" s="1"/>
  <c r="Z527" i="55"/>
  <c r="X444" i="55"/>
  <c r="AA289" i="55"/>
  <c r="Y188" i="55"/>
  <c r="X289" i="55"/>
  <c r="X17" i="55"/>
  <c r="AK14" i="57"/>
  <c r="AK99" i="57" s="1"/>
  <c r="Z164" i="55"/>
  <c r="Z112" i="55"/>
  <c r="K14" i="57"/>
  <c r="K99" i="57" s="1"/>
  <c r="K102" i="57" s="1"/>
  <c r="P99" i="57"/>
  <c r="P50" i="56"/>
  <c r="Z229" i="55"/>
  <c r="M50" i="56"/>
  <c r="O38" i="55"/>
  <c r="U3" i="57"/>
  <c r="BE14" i="57"/>
  <c r="CA14" i="57"/>
  <c r="Z31" i="55"/>
  <c r="AA117" i="56"/>
  <c r="X184" i="55"/>
  <c r="BA14" i="57"/>
  <c r="DN14" i="57"/>
  <c r="DN99" i="57" s="1"/>
  <c r="DT14" i="57"/>
  <c r="DT3" i="57" s="1"/>
  <c r="AA188" i="56"/>
  <c r="AA370" i="55"/>
  <c r="AC14" i="57"/>
  <c r="Y280" i="55"/>
  <c r="EE77" i="57"/>
  <c r="EI77" i="57" s="1"/>
  <c r="CX14" i="57"/>
  <c r="EI24" i="57"/>
  <c r="BH14" i="57"/>
  <c r="BH99" i="57" s="1"/>
  <c r="DU3" i="57"/>
  <c r="DV99" i="57"/>
  <c r="V511" i="55"/>
  <c r="AB112" i="56"/>
  <c r="Y285" i="55"/>
  <c r="X396" i="55"/>
  <c r="O385" i="55"/>
  <c r="X244" i="55"/>
  <c r="AA28" i="55"/>
  <c r="AA17" i="55"/>
  <c r="CS14" i="57"/>
  <c r="EI61" i="57"/>
  <c r="M14" i="57"/>
  <c r="EG83" i="57"/>
  <c r="CE14" i="57"/>
  <c r="CE3" i="57" s="1"/>
  <c r="Y396" i="55"/>
  <c r="AA285" i="55"/>
  <c r="CW14" i="57"/>
  <c r="AA150" i="56"/>
  <c r="Y53" i="56"/>
  <c r="L233" i="55"/>
  <c r="L8" i="55" s="1"/>
  <c r="L7" i="55" s="1"/>
  <c r="AB144" i="56"/>
  <c r="R50" i="56"/>
  <c r="R199" i="56" s="1"/>
  <c r="K106" i="56"/>
  <c r="AA106" i="56" s="1"/>
  <c r="O526" i="55"/>
  <c r="AA526" i="55" s="1"/>
  <c r="Z302" i="55"/>
  <c r="CF14" i="57"/>
  <c r="CF99" i="57" s="1"/>
  <c r="CP14" i="57"/>
  <c r="CP3" i="57" s="1"/>
  <c r="W14" i="57"/>
  <c r="AI14" i="57"/>
  <c r="AV14" i="57"/>
  <c r="AV3" i="57" s="1"/>
  <c r="EG5" i="57"/>
  <c r="AL99" i="57"/>
  <c r="X99" i="57"/>
  <c r="AB168" i="56"/>
  <c r="N50" i="56"/>
  <c r="CO3" i="57"/>
  <c r="W50" i="56"/>
  <c r="W199" i="56" s="1"/>
  <c r="W202" i="56" s="1"/>
  <c r="X280" i="55"/>
  <c r="K148" i="56"/>
  <c r="Z129" i="56"/>
  <c r="Y392" i="55"/>
  <c r="AA392" i="55"/>
  <c r="EB14" i="57"/>
  <c r="BF14" i="57"/>
  <c r="BF99" i="57" s="1"/>
  <c r="EG45" i="57"/>
  <c r="CR14" i="57"/>
  <c r="V195" i="55"/>
  <c r="EC14" i="57"/>
  <c r="DL14" i="57"/>
  <c r="DL3" i="57" s="1"/>
  <c r="EH45" i="57"/>
  <c r="DO99" i="57"/>
  <c r="DO102" i="57" s="1"/>
  <c r="BO3" i="57"/>
  <c r="BO105" i="57" s="1"/>
  <c r="J148" i="56"/>
  <c r="AA108" i="56"/>
  <c r="Y240" i="55"/>
  <c r="DE14" i="57"/>
  <c r="L65" i="56"/>
  <c r="AB65" i="56" s="1"/>
  <c r="AB66" i="56"/>
  <c r="L14" i="57"/>
  <c r="L3" i="57" s="1"/>
  <c r="AY14" i="57"/>
  <c r="AY3" i="57" s="1"/>
  <c r="Y39" i="56"/>
  <c r="EF77" i="57"/>
  <c r="BX14" i="57"/>
  <c r="CH14" i="57"/>
  <c r="DW14" i="57"/>
  <c r="AA14" i="57"/>
  <c r="B5" i="57"/>
  <c r="B4" i="57" s="1"/>
  <c r="AN14" i="57"/>
  <c r="AN99" i="57" s="1"/>
  <c r="AA103" i="56"/>
  <c r="AB108" i="56"/>
  <c r="Y180" i="55"/>
  <c r="U369" i="55"/>
  <c r="V369" i="55" s="1"/>
  <c r="J144" i="56"/>
  <c r="Z145" i="56"/>
  <c r="BQ3" i="57"/>
  <c r="Y9" i="56"/>
  <c r="AA176" i="55"/>
  <c r="BJ14" i="57"/>
  <c r="BJ3" i="57" s="1"/>
  <c r="EG58" i="57"/>
  <c r="B14" i="57"/>
  <c r="CQ101" i="57"/>
  <c r="Y15" i="55"/>
  <c r="Q13" i="55"/>
  <c r="BY14" i="57"/>
  <c r="EF90" i="57"/>
  <c r="CB14" i="57"/>
  <c r="CB3" i="57" s="1"/>
  <c r="X527" i="55"/>
  <c r="BK14" i="57"/>
  <c r="Y54" i="56"/>
  <c r="V79" i="55"/>
  <c r="Y116" i="55"/>
  <c r="W4" i="56"/>
  <c r="BP14" i="57"/>
  <c r="BP99" i="57" s="1"/>
  <c r="DR14" i="57"/>
  <c r="DR99" i="57" s="1"/>
  <c r="DX14" i="57"/>
  <c r="DX3" i="57" s="1"/>
  <c r="AF14" i="57"/>
  <c r="AF99" i="57" s="1"/>
  <c r="Z90" i="56"/>
  <c r="N233" i="55"/>
  <c r="U211" i="55"/>
  <c r="V211" i="55" s="1"/>
  <c r="DM14" i="57"/>
  <c r="EE46" i="57"/>
  <c r="EI46" i="57" s="1"/>
  <c r="U99" i="57"/>
  <c r="AA86" i="56"/>
  <c r="K85" i="56"/>
  <c r="AA85" i="56" s="1"/>
  <c r="Y112" i="55"/>
  <c r="AA112" i="55"/>
  <c r="AA3" i="57"/>
  <c r="AA99" i="57"/>
  <c r="AA102" i="57" s="1"/>
  <c r="CV99" i="57"/>
  <c r="CV3" i="57"/>
  <c r="AJ99" i="57"/>
  <c r="AJ3" i="57"/>
  <c r="CI3" i="57"/>
  <c r="CI99" i="57"/>
  <c r="BR3" i="57"/>
  <c r="BR99" i="57"/>
  <c r="CA99" i="57"/>
  <c r="CA102" i="57" s="1"/>
  <c r="CA3" i="57"/>
  <c r="CA106" i="57" s="1"/>
  <c r="W99" i="57"/>
  <c r="W102" i="57" s="1"/>
  <c r="W3" i="57"/>
  <c r="T99" i="57"/>
  <c r="T3" i="57"/>
  <c r="BS3" i="57"/>
  <c r="BS99" i="57"/>
  <c r="BX3" i="57"/>
  <c r="BX99" i="57"/>
  <c r="L99" i="57"/>
  <c r="DN3" i="57"/>
  <c r="DW99" i="57"/>
  <c r="DW102" i="57" s="1"/>
  <c r="DW3" i="57"/>
  <c r="BK3" i="57"/>
  <c r="BK99" i="57"/>
  <c r="BK102" i="57" s="1"/>
  <c r="X199" i="56"/>
  <c r="X202" i="56" s="1"/>
  <c r="EB3" i="57"/>
  <c r="EB99" i="57"/>
  <c r="DF99" i="57"/>
  <c r="DF3" i="57"/>
  <c r="O79" i="55"/>
  <c r="AA79" i="55" s="1"/>
  <c r="AA80" i="55"/>
  <c r="Y80" i="55"/>
  <c r="V99" i="57"/>
  <c r="V3" i="57"/>
  <c r="BP3" i="57"/>
  <c r="AT3" i="57"/>
  <c r="AT99" i="57"/>
  <c r="BC99" i="57"/>
  <c r="BC102" i="57" s="1"/>
  <c r="BC3" i="57"/>
  <c r="DG3" i="57"/>
  <c r="DG99" i="57"/>
  <c r="DG102" i="57" s="1"/>
  <c r="N8" i="55"/>
  <c r="N7" i="55" s="1"/>
  <c r="AD3" i="57"/>
  <c r="AD99" i="57"/>
  <c r="BG3" i="57"/>
  <c r="BG99" i="57"/>
  <c r="AI99" i="57"/>
  <c r="AI102" i="57" s="1"/>
  <c r="AI3" i="57"/>
  <c r="S50" i="56"/>
  <c r="S199" i="56" s="1"/>
  <c r="O174" i="56"/>
  <c r="AA175" i="56"/>
  <c r="U253" i="55"/>
  <c r="V262" i="55"/>
  <c r="P252" i="55"/>
  <c r="AA258" i="55"/>
  <c r="X258" i="55"/>
  <c r="V235" i="55"/>
  <c r="V206" i="55"/>
  <c r="U205" i="55"/>
  <c r="V205" i="55" s="1"/>
  <c r="Z362" i="55"/>
  <c r="AA144" i="55"/>
  <c r="Y144" i="55"/>
  <c r="R29" i="55"/>
  <c r="Z30" i="55"/>
  <c r="Z310" i="55"/>
  <c r="Y310" i="55"/>
  <c r="AY101" i="57"/>
  <c r="Y325" i="55"/>
  <c r="Q316" i="55"/>
  <c r="Z272" i="55"/>
  <c r="O271" i="55"/>
  <c r="Z93" i="55"/>
  <c r="Y93" i="55"/>
  <c r="X93" i="55"/>
  <c r="EI25" i="57"/>
  <c r="DJ99" i="57"/>
  <c r="DJ3" i="57"/>
  <c r="AX99" i="57"/>
  <c r="AX3" i="57"/>
  <c r="CZ14" i="57"/>
  <c r="EG4" i="57"/>
  <c r="EG33" i="57"/>
  <c r="C14" i="57"/>
  <c r="C99" i="57" s="1"/>
  <c r="T50" i="56"/>
  <c r="AA402" i="55"/>
  <c r="Y402" i="55"/>
  <c r="AB126" i="56"/>
  <c r="L125" i="56"/>
  <c r="AB125" i="56" s="1"/>
  <c r="AA70" i="56"/>
  <c r="K64" i="56"/>
  <c r="AB26" i="56"/>
  <c r="Y81" i="56"/>
  <c r="I80" i="56"/>
  <c r="X362" i="55"/>
  <c r="AA295" i="55"/>
  <c r="Z295" i="55"/>
  <c r="Y295" i="55"/>
  <c r="O294" i="55"/>
  <c r="X295" i="55"/>
  <c r="X272" i="55"/>
  <c r="AA310" i="55"/>
  <c r="Y128" i="55"/>
  <c r="X128" i="55"/>
  <c r="AA128" i="55"/>
  <c r="G101" i="57"/>
  <c r="Q47" i="55"/>
  <c r="Y47" i="55" s="1"/>
  <c r="Y48" i="55"/>
  <c r="AA306" i="55"/>
  <c r="X306" i="55"/>
  <c r="S384" i="55"/>
  <c r="AA385" i="55"/>
  <c r="AA314" i="55"/>
  <c r="X402" i="55"/>
  <c r="Y30" i="55"/>
  <c r="Q29" i="55"/>
  <c r="Z47" i="55"/>
  <c r="V12" i="55"/>
  <c r="U11" i="55"/>
  <c r="AA229" i="55"/>
  <c r="Y17" i="55"/>
  <c r="Z71" i="56"/>
  <c r="J70" i="56"/>
  <c r="AB183" i="56"/>
  <c r="L182" i="56"/>
  <c r="AB182" i="56" s="1"/>
  <c r="X225" i="55"/>
  <c r="Z225" i="55"/>
  <c r="P234" i="55"/>
  <c r="O199" i="55"/>
  <c r="Z200" i="55"/>
  <c r="X200" i="55"/>
  <c r="AA195" i="55"/>
  <c r="O194" i="55"/>
  <c r="Y195" i="55"/>
  <c r="AA153" i="55"/>
  <c r="Z153" i="55"/>
  <c r="Y153" i="55"/>
  <c r="O152" i="55"/>
  <c r="AA120" i="55"/>
  <c r="Z120" i="55"/>
  <c r="Y120" i="55"/>
  <c r="X411" i="55"/>
  <c r="O410" i="55"/>
  <c r="AA411" i="55"/>
  <c r="Q104" i="55"/>
  <c r="Q205" i="55"/>
  <c r="C101" i="57"/>
  <c r="Y44" i="55"/>
  <c r="Q43" i="55"/>
  <c r="S44" i="55"/>
  <c r="EI84" i="57"/>
  <c r="G15" i="57"/>
  <c r="G14" i="57" s="1"/>
  <c r="D4" i="57"/>
  <c r="EF5" i="57"/>
  <c r="CQ99" i="57"/>
  <c r="I125" i="56"/>
  <c r="Y125" i="56" s="1"/>
  <c r="Y126" i="56"/>
  <c r="Y149" i="56"/>
  <c r="I148" i="56"/>
  <c r="Y148" i="56" s="1"/>
  <c r="AA516" i="55"/>
  <c r="Y516" i="55"/>
  <c r="AB122" i="56"/>
  <c r="L121" i="56"/>
  <c r="EG90" i="57"/>
  <c r="EE83" i="57"/>
  <c r="EI83" i="57" s="1"/>
  <c r="EH58" i="57"/>
  <c r="CM5" i="57"/>
  <c r="EE6" i="57"/>
  <c r="EI6" i="57" s="1"/>
  <c r="CN14" i="57"/>
  <c r="CT99" i="57"/>
  <c r="CT3" i="57"/>
  <c r="AH99" i="57"/>
  <c r="AH3" i="57"/>
  <c r="EE58" i="57"/>
  <c r="EI58" i="57" s="1"/>
  <c r="CJ14" i="57"/>
  <c r="I3" i="57"/>
  <c r="DA99" i="57"/>
  <c r="E14" i="57"/>
  <c r="EG15" i="57"/>
  <c r="DS14" i="57"/>
  <c r="AB180" i="56"/>
  <c r="L179" i="56"/>
  <c r="Z14" i="57"/>
  <c r="Z99" i="57" s="1"/>
  <c r="Z174" i="56"/>
  <c r="J173" i="56"/>
  <c r="Z173" i="56" s="1"/>
  <c r="L148" i="56"/>
  <c r="AB148" i="56" s="1"/>
  <c r="AB149" i="56"/>
  <c r="L79" i="56"/>
  <c r="AB79" i="56" s="1"/>
  <c r="AB80" i="56"/>
  <c r="P3" i="57"/>
  <c r="Z411" i="55"/>
  <c r="T199" i="56"/>
  <c r="P4" i="56"/>
  <c r="P199" i="56" s="1"/>
  <c r="P202" i="56" s="1"/>
  <c r="Z194" i="55"/>
  <c r="R193" i="55"/>
  <c r="R101" i="55"/>
  <c r="Z101" i="55" s="1"/>
  <c r="Q351" i="55"/>
  <c r="Y258" i="55"/>
  <c r="S193" i="55"/>
  <c r="AA199" i="55"/>
  <c r="AA217" i="55"/>
  <c r="AA148" i="55"/>
  <c r="Z148" i="55"/>
  <c r="Y148" i="55"/>
  <c r="Z98" i="55"/>
  <c r="R97" i="55"/>
  <c r="X302" i="55"/>
  <c r="AA512" i="55"/>
  <c r="Y512" i="55"/>
  <c r="O511" i="55"/>
  <c r="X512" i="55"/>
  <c r="X217" i="55"/>
  <c r="AE102" i="57"/>
  <c r="X144" i="55"/>
  <c r="X30" i="55"/>
  <c r="X38" i="55"/>
  <c r="X47" i="55"/>
  <c r="X101" i="55"/>
  <c r="AA93" i="55"/>
  <c r="CP99" i="57"/>
  <c r="J14" i="57"/>
  <c r="EH15" i="57"/>
  <c r="DO3" i="57"/>
  <c r="DD99" i="57"/>
  <c r="AO3" i="57"/>
  <c r="DK14" i="57"/>
  <c r="CU99" i="57"/>
  <c r="CU102" i="57" s="1"/>
  <c r="CB99" i="57"/>
  <c r="L75" i="56"/>
  <c r="AB76" i="56"/>
  <c r="I129" i="56"/>
  <c r="Y129" i="56" s="1"/>
  <c r="Y130" i="56"/>
  <c r="Y109" i="56"/>
  <c r="I108" i="56"/>
  <c r="Y60" i="56"/>
  <c r="I59" i="56"/>
  <c r="T351" i="55"/>
  <c r="V351" i="55" s="1"/>
  <c r="V352" i="55"/>
  <c r="Z284" i="55"/>
  <c r="V107" i="55"/>
  <c r="U106" i="55"/>
  <c r="V106" i="55" s="1"/>
  <c r="AA284" i="55"/>
  <c r="Z267" i="55"/>
  <c r="Y267" i="55"/>
  <c r="Q234" i="55"/>
  <c r="AA172" i="55"/>
  <c r="X298" i="55"/>
  <c r="Z298" i="55"/>
  <c r="X284" i="55"/>
  <c r="Z124" i="55"/>
  <c r="Y124" i="55"/>
  <c r="X124" i="55"/>
  <c r="AA276" i="55"/>
  <c r="X195" i="55"/>
  <c r="O262" i="55"/>
  <c r="AA263" i="55"/>
  <c r="X263" i="55"/>
  <c r="AA85" i="55"/>
  <c r="Z85" i="55"/>
  <c r="I143" i="56"/>
  <c r="Y143" i="56" s="1"/>
  <c r="Y144" i="56"/>
  <c r="Z377" i="55"/>
  <c r="X377" i="55"/>
  <c r="O376" i="55"/>
  <c r="Y225" i="55"/>
  <c r="Z128" i="55"/>
  <c r="AA302" i="55"/>
  <c r="AA29" i="55"/>
  <c r="Y85" i="55"/>
  <c r="X29" i="55"/>
  <c r="X28" i="55"/>
  <c r="R10" i="55"/>
  <c r="P384" i="55"/>
  <c r="X385" i="55"/>
  <c r="DT99" i="57"/>
  <c r="CL99" i="57"/>
  <c r="D82" i="57"/>
  <c r="EF82" i="57" s="1"/>
  <c r="EF83" i="57"/>
  <c r="EH83" i="57"/>
  <c r="EF58" i="57"/>
  <c r="AB14" i="57"/>
  <c r="CD99" i="57"/>
  <c r="CD3" i="57"/>
  <c r="R99" i="57"/>
  <c r="R3" i="57"/>
  <c r="DC14" i="57"/>
  <c r="EF15" i="57"/>
  <c r="BT14" i="57"/>
  <c r="H3" i="57"/>
  <c r="AU99" i="57"/>
  <c r="AU102" i="57" s="1"/>
  <c r="CU14" i="57"/>
  <c r="CU3" i="57" s="1"/>
  <c r="DH3" i="57"/>
  <c r="Y183" i="56"/>
  <c r="I182" i="56"/>
  <c r="Y182" i="56" s="1"/>
  <c r="J191" i="56"/>
  <c r="Z191" i="56" s="1"/>
  <c r="Z192" i="56"/>
  <c r="ED3" i="57"/>
  <c r="AZ3" i="57"/>
  <c r="S99" i="57"/>
  <c r="Z109" i="56"/>
  <c r="J108" i="56"/>
  <c r="I70" i="56"/>
  <c r="Y70" i="56" s="1"/>
  <c r="Y71" i="56"/>
  <c r="I26" i="56"/>
  <c r="Y27" i="56"/>
  <c r="AA39" i="56"/>
  <c r="X399" i="55"/>
  <c r="Y91" i="56"/>
  <c r="I90" i="56"/>
  <c r="Y411" i="55"/>
  <c r="X212" i="55"/>
  <c r="P211" i="55"/>
  <c r="O212" i="55"/>
  <c r="X213" i="55"/>
  <c r="AA213" i="55"/>
  <c r="V384" i="55"/>
  <c r="Y200" i="55"/>
  <c r="Z160" i="55"/>
  <c r="Y160" i="55"/>
  <c r="P351" i="55"/>
  <c r="X229" i="55"/>
  <c r="Y97" i="55"/>
  <c r="AA97" i="55"/>
  <c r="Z358" i="55"/>
  <c r="O352" i="55"/>
  <c r="X352" i="55" s="1"/>
  <c r="X358" i="55"/>
  <c r="X240" i="55"/>
  <c r="O235" i="55"/>
  <c r="Z240" i="55"/>
  <c r="X194" i="55"/>
  <c r="P193" i="55"/>
  <c r="AA89" i="55"/>
  <c r="Z89" i="55"/>
  <c r="Y89" i="55"/>
  <c r="Z399" i="55"/>
  <c r="Z212" i="55"/>
  <c r="R211" i="55"/>
  <c r="X172" i="55"/>
  <c r="X267" i="55"/>
  <c r="Y217" i="55"/>
  <c r="X89" i="55"/>
  <c r="V32" i="55"/>
  <c r="T30" i="55"/>
  <c r="Z258" i="55"/>
  <c r="Z144" i="55"/>
  <c r="X27" i="55"/>
  <c r="AV99" i="57"/>
  <c r="AP99" i="57"/>
  <c r="AP3" i="57"/>
  <c r="BV99" i="57"/>
  <c r="BV3" i="57"/>
  <c r="J99" i="57"/>
  <c r="J3" i="57"/>
  <c r="BW14" i="57"/>
  <c r="AE3" i="57"/>
  <c r="F14" i="57"/>
  <c r="F99" i="57" s="1"/>
  <c r="AA179" i="56"/>
  <c r="K178" i="56"/>
  <c r="O99" i="57"/>
  <c r="EH4" i="57"/>
  <c r="N3" i="57"/>
  <c r="Y179" i="56"/>
  <c r="I178" i="56"/>
  <c r="Z148" i="56"/>
  <c r="Y65" i="56"/>
  <c r="Z4" i="56"/>
  <c r="AB59" i="56"/>
  <c r="L58" i="56"/>
  <c r="Z520" i="55"/>
  <c r="Y520" i="55"/>
  <c r="O519" i="55"/>
  <c r="CI101" i="57"/>
  <c r="Y326" i="55"/>
  <c r="X508" i="55"/>
  <c r="AA508" i="55"/>
  <c r="Z402" i="55"/>
  <c r="Y385" i="55"/>
  <c r="Q384" i="55"/>
  <c r="Y384" i="55" s="1"/>
  <c r="AA9" i="56"/>
  <c r="Y476" i="55"/>
  <c r="X476" i="55"/>
  <c r="AA476" i="55"/>
  <c r="R384" i="55"/>
  <c r="Z385" i="55"/>
  <c r="Z235" i="55"/>
  <c r="R234" i="55"/>
  <c r="Q211" i="55"/>
  <c r="Y212" i="55"/>
  <c r="AA27" i="56"/>
  <c r="K26" i="56"/>
  <c r="V385" i="55"/>
  <c r="X276" i="55"/>
  <c r="Y199" i="55"/>
  <c r="O384" i="55"/>
  <c r="Y254" i="55"/>
  <c r="O253" i="55"/>
  <c r="R106" i="55"/>
  <c r="AA254" i="55"/>
  <c r="Q106" i="55"/>
  <c r="AA116" i="55"/>
  <c r="Z116" i="55"/>
  <c r="P97" i="55"/>
  <c r="X98" i="55"/>
  <c r="Y370" i="55"/>
  <c r="X160" i="55"/>
  <c r="O107" i="55"/>
  <c r="Z107" i="55" s="1"/>
  <c r="O206" i="55"/>
  <c r="Y206" i="55" s="1"/>
  <c r="Z207" i="55"/>
  <c r="AA200" i="55"/>
  <c r="S233" i="55"/>
  <c r="U28" i="55"/>
  <c r="X120" i="55"/>
  <c r="O12" i="55"/>
  <c r="AA12" i="55" s="1"/>
  <c r="S11" i="55"/>
  <c r="DB99" i="57"/>
  <c r="DB3" i="57"/>
  <c r="EE82" i="57"/>
  <c r="EI82" i="57" s="1"/>
  <c r="EG34" i="57"/>
  <c r="DZ99" i="57"/>
  <c r="DZ3" i="57"/>
  <c r="BN99" i="57"/>
  <c r="BN3" i="57"/>
  <c r="AQ14" i="57"/>
  <c r="DP14" i="57"/>
  <c r="BD14" i="57"/>
  <c r="AB187" i="56"/>
  <c r="BJ99" i="57"/>
  <c r="EH5" i="57"/>
  <c r="Z187" i="56"/>
  <c r="Z51" i="56"/>
  <c r="N199" i="56"/>
  <c r="N202" i="56" s="1"/>
  <c r="X516" i="55"/>
  <c r="Z476" i="55"/>
  <c r="Z370" i="55"/>
  <c r="M199" i="56"/>
  <c r="M202" i="56" s="1"/>
  <c r="Z325" i="55"/>
  <c r="R316" i="55"/>
  <c r="AA184" i="55"/>
  <c r="Y184" i="55"/>
  <c r="O101" i="57"/>
  <c r="O102" i="57" s="1"/>
  <c r="Q75" i="55"/>
  <c r="Y75" i="55" s="1"/>
  <c r="Y76" i="55"/>
  <c r="Z180" i="55"/>
  <c r="X180" i="55"/>
  <c r="X254" i="55"/>
  <c r="AA206" i="55"/>
  <c r="S205" i="55"/>
  <c r="Q193" i="55"/>
  <c r="Z508" i="55"/>
  <c r="AA362" i="55"/>
  <c r="Z276" i="55"/>
  <c r="BG101" i="57"/>
  <c r="Q67" i="55"/>
  <c r="Y67" i="55" s="1"/>
  <c r="Y68" i="55"/>
  <c r="AB136" i="56"/>
  <c r="L135" i="56"/>
  <c r="Z352" i="55"/>
  <c r="R351" i="55"/>
  <c r="AA244" i="55"/>
  <c r="Q105" i="55"/>
  <c r="AA59" i="55"/>
  <c r="Z59" i="55"/>
  <c r="AA520" i="55"/>
  <c r="AA298" i="55"/>
  <c r="V194" i="55"/>
  <c r="U193" i="55"/>
  <c r="R38" i="55"/>
  <c r="Z38" i="55" s="1"/>
  <c r="AA124" i="55"/>
  <c r="P107" i="55"/>
  <c r="BS101" i="57"/>
  <c r="T61" i="55"/>
  <c r="Y61" i="55"/>
  <c r="Q59" i="55"/>
  <c r="Y59" i="55" s="1"/>
  <c r="AA30" i="55"/>
  <c r="Z306" i="55"/>
  <c r="AA27" i="55"/>
  <c r="B99" i="57" l="1"/>
  <c r="BA3" i="57"/>
  <c r="BA99" i="57"/>
  <c r="Q12" i="55"/>
  <c r="Q11" i="55" s="1"/>
  <c r="Q10" i="55" s="1"/>
  <c r="Y13" i="55"/>
  <c r="C3" i="57"/>
  <c r="CX3" i="57"/>
  <c r="CX99" i="57"/>
  <c r="BL99" i="57"/>
  <c r="EE33" i="57"/>
  <c r="EI33" i="57" s="1"/>
  <c r="BH3" i="57"/>
  <c r="CF3" i="57"/>
  <c r="BE99" i="57"/>
  <c r="BE3" i="57"/>
  <c r="Z384" i="55"/>
  <c r="BF3" i="57"/>
  <c r="DR3" i="57"/>
  <c r="DL99" i="57"/>
  <c r="AM99" i="57"/>
  <c r="AM102" i="57" s="1"/>
  <c r="BY99" i="57"/>
  <c r="BY3" i="57"/>
  <c r="EC99" i="57"/>
  <c r="EC3" i="57"/>
  <c r="K3" i="57"/>
  <c r="CQ102" i="57"/>
  <c r="AC3" i="57"/>
  <c r="AC99" i="57"/>
  <c r="J143" i="56"/>
  <c r="Z143" i="56" s="1"/>
  <c r="Z144" i="56"/>
  <c r="M99" i="57"/>
  <c r="M3" i="57"/>
  <c r="CR3" i="57"/>
  <c r="CR99" i="57"/>
  <c r="CS3" i="57"/>
  <c r="CS99" i="57"/>
  <c r="F3" i="57"/>
  <c r="AG99" i="57"/>
  <c r="AG3" i="57"/>
  <c r="B3" i="57"/>
  <c r="EG14" i="57"/>
  <c r="EG99" i="57" s="1"/>
  <c r="EG102" i="57" s="1"/>
  <c r="DM99" i="57"/>
  <c r="DM3" i="57"/>
  <c r="CH99" i="57"/>
  <c r="CH3" i="57"/>
  <c r="CW99" i="57"/>
  <c r="CW3" i="57"/>
  <c r="X526" i="55"/>
  <c r="Z526" i="55"/>
  <c r="CG99" i="57"/>
  <c r="CG3" i="57"/>
  <c r="BG102" i="57"/>
  <c r="AK3" i="57"/>
  <c r="DX99" i="57"/>
  <c r="AY99" i="57"/>
  <c r="CE99" i="57"/>
  <c r="CE102" i="57" s="1"/>
  <c r="AS99" i="57"/>
  <c r="AS3" i="57"/>
  <c r="DE99" i="57"/>
  <c r="DE3" i="57"/>
  <c r="CI102" i="57"/>
  <c r="Y526" i="55"/>
  <c r="AB4" i="56"/>
  <c r="AF3" i="57"/>
  <c r="Y178" i="56"/>
  <c r="I173" i="56"/>
  <c r="Y173" i="56" s="1"/>
  <c r="I107" i="56"/>
  <c r="Y108" i="56"/>
  <c r="G3" i="57"/>
  <c r="G99" i="57"/>
  <c r="G102" i="57"/>
  <c r="Z294" i="55"/>
  <c r="O293" i="55"/>
  <c r="AA294" i="55"/>
  <c r="Y294" i="55"/>
  <c r="X294" i="55"/>
  <c r="AA271" i="55"/>
  <c r="X271" i="55"/>
  <c r="Y271" i="55"/>
  <c r="Z376" i="55"/>
  <c r="X376" i="55"/>
  <c r="Y352" i="55"/>
  <c r="V61" i="55"/>
  <c r="T59" i="55"/>
  <c r="AB135" i="56"/>
  <c r="L129" i="56"/>
  <c r="AB129" i="56" s="1"/>
  <c r="Q192" i="55"/>
  <c r="O369" i="55"/>
  <c r="S10" i="55"/>
  <c r="AB58" i="56"/>
  <c r="L51" i="56"/>
  <c r="Z3" i="57"/>
  <c r="Z262" i="55"/>
  <c r="X262" i="55"/>
  <c r="AA262" i="55"/>
  <c r="Y262" i="55"/>
  <c r="DK99" i="57"/>
  <c r="DK102" i="57" s="1"/>
  <c r="DK3" i="57"/>
  <c r="AB179" i="56"/>
  <c r="L178" i="56"/>
  <c r="CJ3" i="57"/>
  <c r="CJ99" i="57"/>
  <c r="CM4" i="57"/>
  <c r="EE5" i="57"/>
  <c r="EI5" i="57" s="1"/>
  <c r="S101" i="57"/>
  <c r="Y104" i="55"/>
  <c r="Q101" i="55"/>
  <c r="X152" i="55"/>
  <c r="AA152" i="55"/>
  <c r="Y152" i="55"/>
  <c r="Z152" i="55"/>
  <c r="AA64" i="56"/>
  <c r="EE14" i="57"/>
  <c r="EI14" i="57" s="1"/>
  <c r="BS102" i="57"/>
  <c r="BS105" i="57"/>
  <c r="EH14" i="57"/>
  <c r="EH99" i="57" s="1"/>
  <c r="EH102" i="57" s="1"/>
  <c r="T29" i="55"/>
  <c r="V30" i="55"/>
  <c r="AA235" i="55"/>
  <c r="Y235" i="55"/>
  <c r="O211" i="55"/>
  <c r="AA211" i="55" s="1"/>
  <c r="AA212" i="55"/>
  <c r="Z511" i="55"/>
  <c r="X511" i="55"/>
  <c r="AA511" i="55"/>
  <c r="Y511" i="55"/>
  <c r="R192" i="55"/>
  <c r="T233" i="55"/>
  <c r="X199" i="55"/>
  <c r="Z199" i="55"/>
  <c r="EE15" i="57"/>
  <c r="EI15" i="57" s="1"/>
  <c r="Q314" i="55"/>
  <c r="Y314" i="55" s="1"/>
  <c r="Y316" i="55"/>
  <c r="Z29" i="55"/>
  <c r="R28" i="55"/>
  <c r="AA178" i="56"/>
  <c r="K173" i="56"/>
  <c r="K50" i="56" s="1"/>
  <c r="P106" i="55"/>
  <c r="X107" i="55"/>
  <c r="X97" i="55"/>
  <c r="P80" i="55"/>
  <c r="K4" i="56"/>
  <c r="AA26" i="56"/>
  <c r="Q233" i="55"/>
  <c r="AA44" i="55"/>
  <c r="S43" i="55"/>
  <c r="Y376" i="55"/>
  <c r="V11" i="55"/>
  <c r="U10" i="55"/>
  <c r="AA384" i="55"/>
  <c r="EA101" i="57"/>
  <c r="Y105" i="55"/>
  <c r="Z316" i="55"/>
  <c r="R314" i="55"/>
  <c r="Z314" i="55" s="1"/>
  <c r="O252" i="55"/>
  <c r="O234" i="55" s="1"/>
  <c r="AA253" i="55"/>
  <c r="Y253" i="55"/>
  <c r="Z253" i="55"/>
  <c r="BW3" i="57"/>
  <c r="BW99" i="57"/>
  <c r="BW102" i="57" s="1"/>
  <c r="Y26" i="56"/>
  <c r="I4" i="56"/>
  <c r="AB99" i="57"/>
  <c r="AB3" i="57"/>
  <c r="DS99" i="57"/>
  <c r="DS102" i="57" s="1"/>
  <c r="DS3" i="57"/>
  <c r="Y43" i="55"/>
  <c r="Q38" i="55"/>
  <c r="Y38" i="55" s="1"/>
  <c r="Y410" i="55"/>
  <c r="X410" i="55"/>
  <c r="AA410" i="55"/>
  <c r="Z410" i="55"/>
  <c r="O408" i="55"/>
  <c r="P233" i="55"/>
  <c r="Z70" i="56"/>
  <c r="J64" i="56"/>
  <c r="E3" i="57"/>
  <c r="EG3" i="57" s="1"/>
  <c r="AY102" i="57"/>
  <c r="V253" i="55"/>
  <c r="U252" i="55"/>
  <c r="O11" i="55"/>
  <c r="X12" i="55"/>
  <c r="Z12" i="55"/>
  <c r="Y12" i="55"/>
  <c r="AB75" i="56"/>
  <c r="L64" i="56"/>
  <c r="AB64" i="56" s="1"/>
  <c r="S192" i="55"/>
  <c r="AB121" i="56"/>
  <c r="L106" i="56"/>
  <c r="AB106" i="56" s="1"/>
  <c r="X235" i="55"/>
  <c r="I79" i="56"/>
  <c r="Y80" i="56"/>
  <c r="BD99" i="57"/>
  <c r="BD3" i="57"/>
  <c r="O351" i="55"/>
  <c r="AA351" i="55" s="1"/>
  <c r="AA352" i="55"/>
  <c r="BT3" i="57"/>
  <c r="BT99" i="57"/>
  <c r="V193" i="55"/>
  <c r="U192" i="55"/>
  <c r="V192" i="55" s="1"/>
  <c r="AA376" i="55"/>
  <c r="DP3" i="57"/>
  <c r="DP99" i="57"/>
  <c r="O205" i="55"/>
  <c r="Y205" i="55" s="1"/>
  <c r="Z206" i="55"/>
  <c r="X206" i="55"/>
  <c r="Y211" i="55"/>
  <c r="Y519" i="55"/>
  <c r="X519" i="55"/>
  <c r="Z519" i="55"/>
  <c r="AA519" i="55"/>
  <c r="X384" i="55"/>
  <c r="I58" i="56"/>
  <c r="Y59" i="56"/>
  <c r="Z97" i="55"/>
  <c r="R80" i="55"/>
  <c r="Z271" i="55"/>
  <c r="C102" i="57"/>
  <c r="O193" i="55"/>
  <c r="Y194" i="55"/>
  <c r="AA194" i="55"/>
  <c r="Q28" i="55"/>
  <c r="Y29" i="55"/>
  <c r="E99" i="57"/>
  <c r="O173" i="56"/>
  <c r="O50" i="56" s="1"/>
  <c r="O199" i="56" s="1"/>
  <c r="O202" i="56" s="1"/>
  <c r="AA174" i="56"/>
  <c r="Z351" i="55"/>
  <c r="J182" i="56"/>
  <c r="Z182" i="56" s="1"/>
  <c r="AQ99" i="57"/>
  <c r="AQ102" i="57" s="1"/>
  <c r="AQ3" i="57"/>
  <c r="U27" i="55"/>
  <c r="O106" i="55"/>
  <c r="Z106" i="55" s="1"/>
  <c r="AA107" i="55"/>
  <c r="Y107" i="55"/>
  <c r="X193" i="55"/>
  <c r="P192" i="55"/>
  <c r="I89" i="56"/>
  <c r="Y89" i="56" s="1"/>
  <c r="Y90" i="56"/>
  <c r="J107" i="56"/>
  <c r="Z108" i="56"/>
  <c r="DC99" i="57"/>
  <c r="DC102" i="57" s="1"/>
  <c r="DC3" i="57"/>
  <c r="EF14" i="57"/>
  <c r="Y351" i="55"/>
  <c r="CN3" i="57"/>
  <c r="CN99" i="57"/>
  <c r="D99" i="57"/>
  <c r="D3" i="57"/>
  <c r="EF4" i="57"/>
  <c r="CZ99" i="57"/>
  <c r="CZ3" i="57"/>
  <c r="X253" i="55"/>
  <c r="EH3" i="57" l="1"/>
  <c r="Y106" i="55"/>
  <c r="X252" i="55"/>
  <c r="O233" i="55"/>
  <c r="AA233" i="55" s="1"/>
  <c r="AA234" i="55"/>
  <c r="Z234" i="55"/>
  <c r="Y234" i="55"/>
  <c r="X234" i="55"/>
  <c r="Z107" i="56"/>
  <c r="J106" i="56"/>
  <c r="Z106" i="56" s="1"/>
  <c r="O192" i="55"/>
  <c r="Y192" i="55" s="1"/>
  <c r="AA193" i="55"/>
  <c r="X211" i="55"/>
  <c r="AA43" i="55"/>
  <c r="S38" i="55"/>
  <c r="Z28" i="55"/>
  <c r="R27" i="55"/>
  <c r="X351" i="55"/>
  <c r="AB178" i="56"/>
  <c r="L173" i="56"/>
  <c r="AB173" i="56" s="1"/>
  <c r="Y193" i="55"/>
  <c r="AB51" i="56"/>
  <c r="AB50" i="56" s="1"/>
  <c r="L50" i="56"/>
  <c r="L199" i="56" s="1"/>
  <c r="AA106" i="55"/>
  <c r="O10" i="55"/>
  <c r="X11" i="55"/>
  <c r="Y11" i="55"/>
  <c r="Z11" i="55"/>
  <c r="P79" i="55"/>
  <c r="X80" i="55"/>
  <c r="Z193" i="55"/>
  <c r="Y101" i="55"/>
  <c r="Q79" i="55"/>
  <c r="Y79" i="55" s="1"/>
  <c r="Z211" i="55"/>
  <c r="X233" i="55"/>
  <c r="R79" i="55"/>
  <c r="Z79" i="55" s="1"/>
  <c r="Z80" i="55"/>
  <c r="V252" i="55"/>
  <c r="U234" i="55"/>
  <c r="Z408" i="55"/>
  <c r="AA408" i="55"/>
  <c r="X408" i="55"/>
  <c r="Y408" i="55"/>
  <c r="EA107" i="57"/>
  <c r="EA102" i="57"/>
  <c r="Y233" i="55"/>
  <c r="S107" i="57"/>
  <c r="S102" i="57"/>
  <c r="T38" i="55"/>
  <c r="V38" i="55" s="1"/>
  <c r="V59" i="55"/>
  <c r="AA10" i="55"/>
  <c r="Y107" i="56"/>
  <c r="I106" i="56"/>
  <c r="Y106" i="56" s="1"/>
  <c r="U26" i="55"/>
  <c r="Y79" i="56"/>
  <c r="I64" i="56"/>
  <c r="Y64" i="56" s="1"/>
  <c r="EF3" i="57"/>
  <c r="R233" i="55"/>
  <c r="Z233" i="55" s="1"/>
  <c r="Y28" i="55"/>
  <c r="Q27" i="55"/>
  <c r="V10" i="55"/>
  <c r="X106" i="55"/>
  <c r="T28" i="55"/>
  <c r="V29" i="55"/>
  <c r="CM99" i="57"/>
  <c r="CM102" i="57" s="1"/>
  <c r="CM3" i="57"/>
  <c r="EE3" i="57" s="1"/>
  <c r="EI3" i="57" s="1"/>
  <c r="EE4" i="57"/>
  <c r="AA11" i="55"/>
  <c r="EF99" i="57"/>
  <c r="EF102" i="57" s="1"/>
  <c r="Y58" i="56"/>
  <c r="I51" i="56"/>
  <c r="Y4" i="56"/>
  <c r="AA173" i="56"/>
  <c r="AA50" i="56" s="1"/>
  <c r="Z369" i="55"/>
  <c r="X369" i="55"/>
  <c r="Y369" i="55"/>
  <c r="AA369" i="55"/>
  <c r="Z293" i="55"/>
  <c r="Y293" i="55"/>
  <c r="X293" i="55"/>
  <c r="AA293" i="55"/>
  <c r="Z205" i="55"/>
  <c r="X205" i="55"/>
  <c r="Z64" i="56"/>
  <c r="Z50" i="56" s="1"/>
  <c r="AA252" i="55"/>
  <c r="Y252" i="55"/>
  <c r="Z252" i="55"/>
  <c r="K199" i="56"/>
  <c r="AA4" i="56"/>
  <c r="AA205" i="55"/>
  <c r="J50" i="56" l="1"/>
  <c r="J199" i="56" s="1"/>
  <c r="Z192" i="55"/>
  <c r="EE99" i="57"/>
  <c r="EI4" i="57"/>
  <c r="O26" i="55"/>
  <c r="Z27" i="55"/>
  <c r="R26" i="55"/>
  <c r="X79" i="55"/>
  <c r="P26" i="55"/>
  <c r="AB199" i="56"/>
  <c r="AB202" i="56" s="1"/>
  <c r="L202" i="56"/>
  <c r="T27" i="55"/>
  <c r="V28" i="55"/>
  <c r="X192" i="55"/>
  <c r="AA38" i="55"/>
  <c r="S26" i="55"/>
  <c r="Y27" i="55"/>
  <c r="Q26" i="55"/>
  <c r="AA192" i="55"/>
  <c r="K202" i="56"/>
  <c r="AA199" i="56"/>
  <c r="AA202" i="56" s="1"/>
  <c r="J202" i="56"/>
  <c r="Z199" i="56"/>
  <c r="Z202" i="56" s="1"/>
  <c r="I50" i="56"/>
  <c r="I199" i="56" s="1"/>
  <c r="Y51" i="56"/>
  <c r="Y50" i="56" s="1"/>
  <c r="V234" i="55"/>
  <c r="U233" i="55"/>
  <c r="V233" i="55" s="1"/>
  <c r="U9" i="55"/>
  <c r="O9" i="55"/>
  <c r="O8" i="55" s="1"/>
  <c r="O7" i="55" s="1"/>
  <c r="X10" i="55"/>
  <c r="Z10" i="55"/>
  <c r="Y10" i="55"/>
  <c r="X26" i="55" l="1"/>
  <c r="P9" i="55"/>
  <c r="Y199" i="56"/>
  <c r="Y202" i="56" s="1"/>
  <c r="I202" i="56"/>
  <c r="AA26" i="55"/>
  <c r="S9" i="55"/>
  <c r="U8" i="55"/>
  <c r="Y26" i="55"/>
  <c r="Q9" i="55"/>
  <c r="Z26" i="55"/>
  <c r="R9" i="55"/>
  <c r="T26" i="55"/>
  <c r="V27" i="55"/>
  <c r="T9" i="55" l="1"/>
  <c r="V26" i="55"/>
  <c r="R8" i="55"/>
  <c r="Z9" i="55"/>
  <c r="U7" i="55"/>
  <c r="S8" i="55"/>
  <c r="AA9" i="55"/>
  <c r="Y9" i="55"/>
  <c r="Q8" i="55"/>
  <c r="X9" i="55"/>
  <c r="P8" i="55"/>
  <c r="Q7" i="55" l="1"/>
  <c r="Y8" i="55"/>
  <c r="T8" i="55"/>
  <c r="V9" i="55"/>
  <c r="S7" i="55"/>
  <c r="AA8" i="55"/>
  <c r="X8" i="55"/>
  <c r="P7" i="55"/>
  <c r="R7" i="55"/>
  <c r="Z8" i="55"/>
  <c r="R534" i="55" l="1"/>
  <c r="Z7" i="55"/>
  <c r="P534" i="55"/>
  <c r="X7" i="55"/>
  <c r="S534" i="55"/>
  <c r="AA7" i="55"/>
  <c r="B101" i="57"/>
  <c r="B102" i="57" s="1"/>
  <c r="Q534" i="55"/>
  <c r="Y7" i="55"/>
  <c r="T7" i="55"/>
  <c r="V7" i="55" s="1"/>
  <c r="V8" i="55"/>
  <c r="AM22" i="34" l="1"/>
  <c r="AL22" i="34"/>
  <c r="AM57" i="34"/>
  <c r="AL57" i="34"/>
  <c r="AM75" i="34"/>
  <c r="AL75" i="34"/>
  <c r="AM95" i="34"/>
  <c r="AL95" i="34"/>
  <c r="AM101" i="34"/>
  <c r="AL101" i="34"/>
  <c r="AM127" i="34"/>
  <c r="AL127" i="34"/>
  <c r="AM134" i="34"/>
  <c r="AM133" i="34" s="1"/>
  <c r="AL134" i="34"/>
  <c r="AL133" i="34" s="1"/>
  <c r="AM165" i="34" l="1"/>
  <c r="AL165" i="34"/>
  <c r="AL21" i="34"/>
  <c r="AL167" i="34" s="1"/>
  <c r="AM21" i="34"/>
  <c r="AM167" i="34" s="1"/>
  <c r="AM9" i="34" l="1"/>
  <c r="AM8" i="34" s="1"/>
  <c r="AL9" i="34"/>
  <c r="AL8" i="34" s="1"/>
  <c r="AK8" i="34"/>
  <c r="AJ8" i="34"/>
  <c r="AH164" i="34"/>
  <c r="AH163" i="34"/>
  <c r="AH162" i="34"/>
  <c r="AH153" i="34"/>
  <c r="AH148" i="34"/>
  <c r="AH141" i="34"/>
  <c r="AH135" i="34"/>
  <c r="AH131" i="34"/>
  <c r="AH128" i="34"/>
  <c r="AH124" i="34"/>
  <c r="AH120" i="34"/>
  <c r="AH116" i="34"/>
  <c r="AH112" i="34"/>
  <c r="AH106" i="34"/>
  <c r="AH102" i="34"/>
  <c r="AH96" i="34"/>
  <c r="AH83" i="34"/>
  <c r="AH76" i="34"/>
  <c r="AH70" i="34"/>
  <c r="AH67" i="34"/>
  <c r="AH61" i="34"/>
  <c r="AH58" i="34"/>
  <c r="AH52" i="34"/>
  <c r="AH49" i="34"/>
  <c r="AH41" i="34"/>
  <c r="AH34" i="34"/>
  <c r="AH31" i="34"/>
  <c r="AH23" i="34"/>
  <c r="AH16" i="34"/>
  <c r="AH10" i="34"/>
  <c r="AN165" i="34"/>
  <c r="AN164" i="34"/>
  <c r="AN163" i="34"/>
  <c r="AI163" i="34"/>
  <c r="AN162" i="34"/>
  <c r="AI162" i="34"/>
  <c r="AN161" i="34"/>
  <c r="AI161" i="34"/>
  <c r="AH161" i="34"/>
  <c r="AN160" i="34"/>
  <c r="AI160" i="34"/>
  <c r="AH160" i="34"/>
  <c r="AN159" i="34"/>
  <c r="AI159" i="34"/>
  <c r="AH159" i="34"/>
  <c r="AN158" i="34"/>
  <c r="AI158" i="34"/>
  <c r="AH158" i="34"/>
  <c r="AN157" i="34"/>
  <c r="AI157" i="34"/>
  <c r="AH157" i="34"/>
  <c r="AN156" i="34"/>
  <c r="AI156" i="34"/>
  <c r="AH156" i="34"/>
  <c r="AN155" i="34"/>
  <c r="AI155" i="34"/>
  <c r="AH155" i="34"/>
  <c r="AN154" i="34"/>
  <c r="AI154" i="34"/>
  <c r="AH154" i="34"/>
  <c r="AN153" i="34"/>
  <c r="AN152" i="34"/>
  <c r="AI152" i="34"/>
  <c r="AH152" i="34"/>
  <c r="AN151" i="34"/>
  <c r="AI151" i="34"/>
  <c r="AH151" i="34"/>
  <c r="AN150" i="34"/>
  <c r="AI150" i="34"/>
  <c r="AH150" i="34"/>
  <c r="AN149" i="34"/>
  <c r="AI149" i="34"/>
  <c r="AH149" i="34"/>
  <c r="AN148" i="34"/>
  <c r="AN147" i="34"/>
  <c r="AI147" i="34"/>
  <c r="AH147" i="34"/>
  <c r="AN146" i="34"/>
  <c r="AI146" i="34"/>
  <c r="AH146" i="34"/>
  <c r="AN145" i="34"/>
  <c r="AI145" i="34"/>
  <c r="AH145" i="34"/>
  <c r="AN144" i="34"/>
  <c r="AI144" i="34"/>
  <c r="AH144" i="34"/>
  <c r="AN143" i="34"/>
  <c r="AI143" i="34"/>
  <c r="AH143" i="34"/>
  <c r="AN142" i="34"/>
  <c r="AI142" i="34"/>
  <c r="AH142" i="34"/>
  <c r="AN141" i="34"/>
  <c r="AN140" i="34"/>
  <c r="AI140" i="34"/>
  <c r="AH140" i="34"/>
  <c r="AN139" i="34"/>
  <c r="AI139" i="34"/>
  <c r="AH139" i="34"/>
  <c r="AN138" i="34"/>
  <c r="AI138" i="34"/>
  <c r="AH138" i="34"/>
  <c r="AN137" i="34"/>
  <c r="AI137" i="34"/>
  <c r="AH137" i="34"/>
  <c r="AN136" i="34"/>
  <c r="AI136" i="34"/>
  <c r="AH136" i="34"/>
  <c r="AN135" i="34"/>
  <c r="AN134" i="34"/>
  <c r="AK134" i="34"/>
  <c r="AK133" i="34" s="1"/>
  <c r="AJ134" i="34"/>
  <c r="AG134" i="34"/>
  <c r="AN133" i="34"/>
  <c r="AJ133" i="34"/>
  <c r="AN132" i="34"/>
  <c r="AI132" i="34"/>
  <c r="AH132" i="34"/>
  <c r="AN131" i="34"/>
  <c r="AN130" i="34"/>
  <c r="AI130" i="34"/>
  <c r="AH130" i="34"/>
  <c r="AN129" i="34"/>
  <c r="AI129" i="34"/>
  <c r="AH129" i="34"/>
  <c r="AN128" i="34"/>
  <c r="AI127" i="34"/>
  <c r="AN127" i="34"/>
  <c r="AK127" i="34"/>
  <c r="AJ127" i="34"/>
  <c r="AG127" i="34"/>
  <c r="AN126" i="34"/>
  <c r="AI126" i="34"/>
  <c r="AH126" i="34"/>
  <c r="AN125" i="34"/>
  <c r="AI125" i="34"/>
  <c r="AH125" i="34"/>
  <c r="AN124" i="34"/>
  <c r="AN123" i="34"/>
  <c r="AI123" i="34"/>
  <c r="AH123" i="34"/>
  <c r="AN122" i="34"/>
  <c r="AI122" i="34"/>
  <c r="AH122" i="34"/>
  <c r="AN121" i="34"/>
  <c r="AI121" i="34"/>
  <c r="AH121" i="34"/>
  <c r="AN120" i="34"/>
  <c r="AG120" i="34"/>
  <c r="AI120" i="34" s="1"/>
  <c r="AN119" i="34"/>
  <c r="AK119" i="34"/>
  <c r="AJ119" i="34"/>
  <c r="AN118" i="34"/>
  <c r="AI118" i="34"/>
  <c r="AH118" i="34"/>
  <c r="AN117" i="34"/>
  <c r="AI117" i="34"/>
  <c r="AH117" i="34"/>
  <c r="AN116" i="34"/>
  <c r="AN115" i="34"/>
  <c r="AI115" i="34"/>
  <c r="AH115" i="34"/>
  <c r="AN114" i="34"/>
  <c r="AI114" i="34"/>
  <c r="AH114" i="34"/>
  <c r="AN113" i="34"/>
  <c r="AI113" i="34"/>
  <c r="AH113" i="34"/>
  <c r="AN112" i="34"/>
  <c r="AN111" i="34"/>
  <c r="AI111" i="34"/>
  <c r="AH111" i="34"/>
  <c r="AN110" i="34"/>
  <c r="AI110" i="34"/>
  <c r="AH110" i="34"/>
  <c r="AN109" i="34"/>
  <c r="AI109" i="34"/>
  <c r="AH109" i="34"/>
  <c r="AN108" i="34"/>
  <c r="AI108" i="34"/>
  <c r="AH108" i="34"/>
  <c r="AN107" i="34"/>
  <c r="AI107" i="34"/>
  <c r="AH107" i="34"/>
  <c r="AN106" i="34"/>
  <c r="AN105" i="34"/>
  <c r="AI105" i="34"/>
  <c r="AH105" i="34"/>
  <c r="AN104" i="34"/>
  <c r="AI104" i="34"/>
  <c r="AH104" i="34"/>
  <c r="AN103" i="34"/>
  <c r="AI103" i="34"/>
  <c r="AH103" i="34"/>
  <c r="AN102" i="34"/>
  <c r="AN101" i="34"/>
  <c r="AK101" i="34"/>
  <c r="AJ101" i="34"/>
  <c r="AN100" i="34"/>
  <c r="AI100" i="34"/>
  <c r="AH100" i="34"/>
  <c r="AN99" i="34"/>
  <c r="AI99" i="34"/>
  <c r="AH99" i="34"/>
  <c r="AN98" i="34"/>
  <c r="AI98" i="34"/>
  <c r="AH98" i="34"/>
  <c r="AN97" i="34"/>
  <c r="AI97" i="34"/>
  <c r="AH97" i="34"/>
  <c r="AN96" i="34"/>
  <c r="AN95" i="34"/>
  <c r="AK95" i="34"/>
  <c r="AJ95" i="34"/>
  <c r="AI95" i="34"/>
  <c r="AG95" i="34"/>
  <c r="AN94" i="34"/>
  <c r="AI94" i="34"/>
  <c r="AH94" i="34"/>
  <c r="AN93" i="34"/>
  <c r="AI93" i="34"/>
  <c r="AH93" i="34"/>
  <c r="AN92" i="34"/>
  <c r="AI92" i="34"/>
  <c r="AH92" i="34"/>
  <c r="AN91" i="34"/>
  <c r="AI91" i="34"/>
  <c r="AH91" i="34"/>
  <c r="AN90" i="34"/>
  <c r="AI90" i="34"/>
  <c r="AH90" i="34"/>
  <c r="AN89" i="34"/>
  <c r="AI89" i="34"/>
  <c r="AH89" i="34"/>
  <c r="AN88" i="34"/>
  <c r="AI88" i="34"/>
  <c r="AH88" i="34"/>
  <c r="AN87" i="34"/>
  <c r="AI87" i="34"/>
  <c r="AH87" i="34"/>
  <c r="AN86" i="34"/>
  <c r="AI86" i="34"/>
  <c r="AH86" i="34"/>
  <c r="AN85" i="34"/>
  <c r="AI85" i="34"/>
  <c r="AH85" i="34"/>
  <c r="AN84" i="34"/>
  <c r="AI84" i="34"/>
  <c r="AH84" i="34"/>
  <c r="AN83" i="34"/>
  <c r="AN82" i="34"/>
  <c r="AI82" i="34"/>
  <c r="AH82" i="34"/>
  <c r="AN81" i="34"/>
  <c r="AI81" i="34"/>
  <c r="AH81" i="34"/>
  <c r="AN80" i="34"/>
  <c r="AI80" i="34"/>
  <c r="AH80" i="34"/>
  <c r="AN79" i="34"/>
  <c r="AI79" i="34"/>
  <c r="AH79" i="34"/>
  <c r="AN78" i="34"/>
  <c r="AI78" i="34"/>
  <c r="AH78" i="34"/>
  <c r="AN77" i="34"/>
  <c r="AI77" i="34"/>
  <c r="AH77" i="34"/>
  <c r="AN76" i="34"/>
  <c r="AI75" i="34"/>
  <c r="AN75" i="34"/>
  <c r="AK75" i="34"/>
  <c r="AJ75" i="34"/>
  <c r="AG75" i="34"/>
  <c r="AN74" i="34"/>
  <c r="AI74" i="34"/>
  <c r="AH74" i="34"/>
  <c r="AN73" i="34"/>
  <c r="AI73" i="34"/>
  <c r="AH73" i="34"/>
  <c r="AN72" i="34"/>
  <c r="AI72" i="34"/>
  <c r="AH72" i="34"/>
  <c r="AN71" i="34"/>
  <c r="AI71" i="34"/>
  <c r="AH71" i="34"/>
  <c r="AN70" i="34"/>
  <c r="AN69" i="34"/>
  <c r="AI69" i="34"/>
  <c r="AH69" i="34"/>
  <c r="AN68" i="34"/>
  <c r="AI68" i="34"/>
  <c r="AH68" i="34"/>
  <c r="AN67" i="34"/>
  <c r="AN66" i="34"/>
  <c r="AI66" i="34"/>
  <c r="AH66" i="34"/>
  <c r="AN65" i="34"/>
  <c r="AI65" i="34"/>
  <c r="AH65" i="34"/>
  <c r="AN64" i="34"/>
  <c r="AI64" i="34"/>
  <c r="AH64" i="34"/>
  <c r="AN63" i="34"/>
  <c r="AI63" i="34"/>
  <c r="AH63" i="34"/>
  <c r="AN62" i="34"/>
  <c r="AI62" i="34"/>
  <c r="AH62" i="34"/>
  <c r="AN61" i="34"/>
  <c r="AN60" i="34"/>
  <c r="AI60" i="34"/>
  <c r="AI57" i="34" s="1"/>
  <c r="AH60" i="34"/>
  <c r="AN59" i="34"/>
  <c r="AH59" i="34"/>
  <c r="AN58" i="34"/>
  <c r="AN57" i="34"/>
  <c r="AK57" i="34"/>
  <c r="AN56" i="34"/>
  <c r="AI56" i="34"/>
  <c r="AH56" i="34"/>
  <c r="AN55" i="34"/>
  <c r="AI55" i="34"/>
  <c r="AH55" i="34"/>
  <c r="AN54" i="34"/>
  <c r="AI54" i="34"/>
  <c r="AH54" i="34"/>
  <c r="AN53" i="34"/>
  <c r="AH53" i="34"/>
  <c r="AN52" i="34"/>
  <c r="AN51" i="34"/>
  <c r="AI51" i="34"/>
  <c r="AH51" i="34"/>
  <c r="AN50" i="34"/>
  <c r="AI50" i="34"/>
  <c r="AH50" i="34"/>
  <c r="AN49" i="34"/>
  <c r="AK49" i="34"/>
  <c r="AK22" i="34" s="1"/>
  <c r="AJ49" i="34"/>
  <c r="AG49" i="34"/>
  <c r="AI49" i="34" s="1"/>
  <c r="AN48" i="34"/>
  <c r="AI48" i="34"/>
  <c r="AH48" i="34"/>
  <c r="AN47" i="34"/>
  <c r="AI47" i="34"/>
  <c r="AH47" i="34"/>
  <c r="AN46" i="34"/>
  <c r="AI46" i="34"/>
  <c r="AH46" i="34"/>
  <c r="AN45" i="34"/>
  <c r="AI45" i="34"/>
  <c r="AH45" i="34"/>
  <c r="AN44" i="34"/>
  <c r="AI44" i="34"/>
  <c r="AH44" i="34"/>
  <c r="AN43" i="34"/>
  <c r="AI43" i="34"/>
  <c r="AH43" i="34"/>
  <c r="AN42" i="34"/>
  <c r="AI42" i="34"/>
  <c r="AH42" i="34"/>
  <c r="AN41" i="34"/>
  <c r="AN40" i="34"/>
  <c r="AI40" i="34"/>
  <c r="AH40" i="34"/>
  <c r="AN39" i="34"/>
  <c r="AI39" i="34"/>
  <c r="AH39" i="34"/>
  <c r="AN38" i="34"/>
  <c r="AI38" i="34"/>
  <c r="AH38" i="34"/>
  <c r="AN37" i="34"/>
  <c r="AI37" i="34"/>
  <c r="AH37" i="34"/>
  <c r="AN36" i="34"/>
  <c r="AI36" i="34"/>
  <c r="AH36" i="34"/>
  <c r="AN35" i="34"/>
  <c r="AI35" i="34"/>
  <c r="AH35" i="34"/>
  <c r="AN34" i="34"/>
  <c r="AN33" i="34"/>
  <c r="AI33" i="34"/>
  <c r="AH33" i="34"/>
  <c r="AN32" i="34"/>
  <c r="AI32" i="34"/>
  <c r="AH32" i="34"/>
  <c r="AN31" i="34"/>
  <c r="AN30" i="34"/>
  <c r="AI30" i="34"/>
  <c r="AH30" i="34"/>
  <c r="AN29" i="34"/>
  <c r="AI29" i="34"/>
  <c r="AH29" i="34"/>
  <c r="AN28" i="34"/>
  <c r="AI28" i="34"/>
  <c r="AH28" i="34"/>
  <c r="AN27" i="34"/>
  <c r="AI27" i="34"/>
  <c r="AH27" i="34"/>
  <c r="AN26" i="34"/>
  <c r="AI26" i="34"/>
  <c r="AH26" i="34"/>
  <c r="AN25" i="34"/>
  <c r="AI25" i="34"/>
  <c r="AH25" i="34"/>
  <c r="AN24" i="34"/>
  <c r="AI24" i="34"/>
  <c r="AH24" i="34"/>
  <c r="AN23" i="34"/>
  <c r="AN22" i="34"/>
  <c r="AJ22" i="34"/>
  <c r="AG22" i="34"/>
  <c r="AN21" i="34"/>
  <c r="AN20" i="34"/>
  <c r="AI20" i="34"/>
  <c r="AH20" i="34"/>
  <c r="AN19" i="34"/>
  <c r="AI19" i="34"/>
  <c r="AH19" i="34"/>
  <c r="AN18" i="34"/>
  <c r="AI18" i="34"/>
  <c r="AH18" i="34"/>
  <c r="AN17" i="34"/>
  <c r="AI17" i="34"/>
  <c r="AH17" i="34"/>
  <c r="AN16" i="34"/>
  <c r="AN15" i="34"/>
  <c r="AI15" i="34"/>
  <c r="AH15" i="34"/>
  <c r="AN14" i="34"/>
  <c r="AI14" i="34"/>
  <c r="AH14" i="34"/>
  <c r="AN13" i="34"/>
  <c r="AI13" i="34"/>
  <c r="AH13" i="34"/>
  <c r="AN12" i="34"/>
  <c r="AI12" i="34"/>
  <c r="AH12" i="34"/>
  <c r="AN11" i="34"/>
  <c r="AI11" i="34"/>
  <c r="AH11" i="34"/>
  <c r="AN10" i="34"/>
  <c r="AK9" i="34"/>
  <c r="AJ9" i="34"/>
  <c r="AG9" i="34"/>
  <c r="AG8" i="34" s="1"/>
  <c r="AN9" i="34" l="1"/>
  <c r="AN8" i="34"/>
  <c r="AK21" i="34"/>
  <c r="AK167" i="34" s="1"/>
  <c r="AJ21" i="34"/>
  <c r="AJ167" i="34" s="1"/>
  <c r="AI134" i="34"/>
  <c r="AI133" i="34" s="1"/>
  <c r="AG133" i="34"/>
  <c r="AI119" i="34"/>
  <c r="AI101" i="34"/>
  <c r="AI22" i="34"/>
  <c r="AI9" i="34"/>
  <c r="AI8" i="34" s="1"/>
  <c r="AK165" i="34"/>
  <c r="AJ165" i="34"/>
  <c r="AG101" i="34"/>
  <c r="AG21" i="34" s="1"/>
  <c r="AG119" i="34"/>
  <c r="AI21" i="34" l="1"/>
  <c r="AG165" i="34"/>
  <c r="AG167" i="34" l="1"/>
  <c r="E49" i="23" l="1"/>
  <c r="Y54" i="34" l="1"/>
  <c r="AF102" i="34" l="1"/>
  <c r="Y39" i="34" l="1"/>
  <c r="Y36" i="34"/>
  <c r="Y35" i="34" l="1"/>
  <c r="Y32" i="34"/>
  <c r="Y30" i="34"/>
  <c r="Y28" i="34"/>
  <c r="Y24" i="34"/>
  <c r="Y154" i="34"/>
  <c r="Z154" i="34" s="1"/>
  <c r="M153" i="34"/>
  <c r="L161" i="34" l="1"/>
  <c r="K161" i="34"/>
  <c r="L160" i="34"/>
  <c r="K160" i="34"/>
  <c r="L159" i="34"/>
  <c r="K159" i="34"/>
  <c r="L158" i="34"/>
  <c r="K158" i="34"/>
  <c r="L157" i="34"/>
  <c r="K157" i="34"/>
  <c r="L156" i="34"/>
  <c r="K156" i="34"/>
  <c r="L155" i="34"/>
  <c r="K155" i="34"/>
  <c r="L154" i="34"/>
  <c r="K154" i="34"/>
  <c r="M152" i="34"/>
  <c r="L152" i="34"/>
  <c r="K152" i="34"/>
  <c r="M151" i="34"/>
  <c r="L151" i="34"/>
  <c r="K151" i="34"/>
  <c r="M150" i="34"/>
  <c r="L150" i="34"/>
  <c r="K150" i="34"/>
  <c r="M149" i="34"/>
  <c r="L149" i="34"/>
  <c r="K149" i="34"/>
  <c r="M147" i="34"/>
  <c r="L147" i="34"/>
  <c r="K147" i="34"/>
  <c r="M146" i="34"/>
  <c r="L146" i="34"/>
  <c r="K146" i="34"/>
  <c r="M145" i="34"/>
  <c r="L145" i="34"/>
  <c r="K145" i="34"/>
  <c r="M144" i="34"/>
  <c r="L144" i="34"/>
  <c r="K144" i="34"/>
  <c r="M143" i="34"/>
  <c r="L143" i="34"/>
  <c r="K143" i="34"/>
  <c r="M142" i="34"/>
  <c r="L142" i="34"/>
  <c r="L141" i="34" s="1"/>
  <c r="K142" i="34"/>
  <c r="M140" i="34"/>
  <c r="L140" i="34"/>
  <c r="K140" i="34"/>
  <c r="M139" i="34"/>
  <c r="L139" i="34"/>
  <c r="K139" i="34"/>
  <c r="M138" i="34"/>
  <c r="L138" i="34"/>
  <c r="K138" i="34"/>
  <c r="M137" i="34"/>
  <c r="L137" i="34"/>
  <c r="K137" i="34"/>
  <c r="M136" i="34"/>
  <c r="L136" i="34"/>
  <c r="K136" i="34"/>
  <c r="M132" i="34"/>
  <c r="L132" i="34"/>
  <c r="L131" i="34" s="1"/>
  <c r="K132" i="34"/>
  <c r="M130" i="34"/>
  <c r="L130" i="34"/>
  <c r="K130" i="34"/>
  <c r="M129" i="34"/>
  <c r="L129" i="34"/>
  <c r="L128" i="34" s="1"/>
  <c r="K129" i="34"/>
  <c r="M126" i="34"/>
  <c r="M124" i="34" s="1"/>
  <c r="L126" i="34"/>
  <c r="K126" i="34"/>
  <c r="M125" i="34"/>
  <c r="L125" i="34"/>
  <c r="L124" i="34" s="1"/>
  <c r="K125" i="34"/>
  <c r="M123" i="34"/>
  <c r="L123" i="34"/>
  <c r="K123" i="34"/>
  <c r="M122" i="34"/>
  <c r="L122" i="34"/>
  <c r="K122" i="34"/>
  <c r="M121" i="34"/>
  <c r="M120" i="34" s="1"/>
  <c r="L121" i="34"/>
  <c r="L120" i="34" s="1"/>
  <c r="K121" i="34"/>
  <c r="M118" i="34"/>
  <c r="L118" i="34"/>
  <c r="K118" i="34"/>
  <c r="M117" i="34"/>
  <c r="M116" i="34" s="1"/>
  <c r="L117" i="34"/>
  <c r="L116" i="34" s="1"/>
  <c r="K117" i="34"/>
  <c r="M115" i="34"/>
  <c r="L115" i="34"/>
  <c r="K115" i="34"/>
  <c r="M114" i="34"/>
  <c r="L114" i="34"/>
  <c r="L112" i="34" s="1"/>
  <c r="K114" i="34"/>
  <c r="M113" i="34"/>
  <c r="L113" i="34"/>
  <c r="K113" i="34"/>
  <c r="M111" i="34"/>
  <c r="L111" i="34"/>
  <c r="K111" i="34"/>
  <c r="M110" i="34"/>
  <c r="L110" i="34"/>
  <c r="L106" i="34" s="1"/>
  <c r="K110" i="34"/>
  <c r="M109" i="34"/>
  <c r="L109" i="34"/>
  <c r="K109" i="34"/>
  <c r="M108" i="34"/>
  <c r="M106" i="34" s="1"/>
  <c r="L108" i="34"/>
  <c r="K108" i="34"/>
  <c r="M107" i="34"/>
  <c r="L107" i="34"/>
  <c r="K107" i="34"/>
  <c r="M105" i="34"/>
  <c r="L105" i="34"/>
  <c r="K105" i="34"/>
  <c r="M104" i="34"/>
  <c r="L104" i="34"/>
  <c r="K104" i="34"/>
  <c r="M103" i="34"/>
  <c r="L103" i="34"/>
  <c r="K103" i="34"/>
  <c r="M100" i="34"/>
  <c r="L100" i="34"/>
  <c r="K100" i="34"/>
  <c r="M99" i="34"/>
  <c r="L99" i="34"/>
  <c r="K99" i="34"/>
  <c r="M98" i="34"/>
  <c r="L98" i="34"/>
  <c r="L96" i="34" s="1"/>
  <c r="L95" i="34" s="1"/>
  <c r="K98" i="34"/>
  <c r="M97" i="34"/>
  <c r="L97" i="34"/>
  <c r="K97" i="34"/>
  <c r="M94" i="34"/>
  <c r="L94" i="34"/>
  <c r="K94" i="34"/>
  <c r="M93" i="34"/>
  <c r="L93" i="34"/>
  <c r="K93" i="34"/>
  <c r="M92" i="34"/>
  <c r="L92" i="34"/>
  <c r="K92" i="34"/>
  <c r="M91" i="34"/>
  <c r="L91" i="34"/>
  <c r="K91" i="34"/>
  <c r="M90" i="34"/>
  <c r="L90" i="34"/>
  <c r="K90" i="34"/>
  <c r="M89" i="34"/>
  <c r="L89" i="34"/>
  <c r="K89" i="34"/>
  <c r="M88" i="34"/>
  <c r="L88" i="34"/>
  <c r="K88" i="34"/>
  <c r="M87" i="34"/>
  <c r="L87" i="34"/>
  <c r="K87" i="34"/>
  <c r="M86" i="34"/>
  <c r="L86" i="34"/>
  <c r="K86" i="34"/>
  <c r="M85" i="34"/>
  <c r="L85" i="34"/>
  <c r="K85" i="34"/>
  <c r="M84" i="34"/>
  <c r="L84" i="34"/>
  <c r="L83" i="34" s="1"/>
  <c r="K84" i="34"/>
  <c r="M82" i="34"/>
  <c r="L82" i="34"/>
  <c r="K82" i="34"/>
  <c r="M81" i="34"/>
  <c r="L81" i="34"/>
  <c r="K81" i="34"/>
  <c r="M80" i="34"/>
  <c r="L80" i="34"/>
  <c r="K80" i="34"/>
  <c r="M79" i="34"/>
  <c r="L79" i="34"/>
  <c r="K79" i="34"/>
  <c r="M78" i="34"/>
  <c r="L78" i="34"/>
  <c r="K78" i="34"/>
  <c r="M77" i="34"/>
  <c r="L77" i="34"/>
  <c r="L76" i="34" s="1"/>
  <c r="K77" i="34"/>
  <c r="M74" i="34"/>
  <c r="L74" i="34"/>
  <c r="K74" i="34"/>
  <c r="M73" i="34"/>
  <c r="L73" i="34"/>
  <c r="K73" i="34"/>
  <c r="M72" i="34"/>
  <c r="L72" i="34"/>
  <c r="K72" i="34"/>
  <c r="M71" i="34"/>
  <c r="M70" i="34" s="1"/>
  <c r="L71" i="34"/>
  <c r="L70" i="34" s="1"/>
  <c r="K71" i="34"/>
  <c r="M69" i="34"/>
  <c r="L69" i="34"/>
  <c r="K69" i="34"/>
  <c r="M68" i="34"/>
  <c r="M67" i="34" s="1"/>
  <c r="L68" i="34"/>
  <c r="L67" i="34" s="1"/>
  <c r="K68" i="34"/>
  <c r="M66" i="34"/>
  <c r="L66" i="34"/>
  <c r="K66" i="34"/>
  <c r="M65" i="34"/>
  <c r="L65" i="34"/>
  <c r="K65" i="34"/>
  <c r="M64" i="34"/>
  <c r="L64" i="34"/>
  <c r="K64" i="34"/>
  <c r="M63" i="34"/>
  <c r="L63" i="34"/>
  <c r="K63" i="34"/>
  <c r="M62" i="34"/>
  <c r="M61" i="34" s="1"/>
  <c r="L62" i="34"/>
  <c r="L61" i="34" s="1"/>
  <c r="K62" i="34"/>
  <c r="M60" i="34"/>
  <c r="M58" i="34" s="1"/>
  <c r="L60" i="34"/>
  <c r="K60" i="34"/>
  <c r="M59" i="34"/>
  <c r="L59" i="34"/>
  <c r="L58" i="34" s="1"/>
  <c r="K59" i="34"/>
  <c r="M56" i="34"/>
  <c r="L56" i="34"/>
  <c r="L52" i="34" s="1"/>
  <c r="K56" i="34"/>
  <c r="M55" i="34"/>
  <c r="L55" i="34"/>
  <c r="K55" i="34"/>
  <c r="M54" i="34"/>
  <c r="M52" i="34" s="1"/>
  <c r="L54" i="34"/>
  <c r="K54" i="34"/>
  <c r="M53" i="34"/>
  <c r="L53" i="34"/>
  <c r="K53" i="34"/>
  <c r="M51" i="34"/>
  <c r="L51" i="34"/>
  <c r="K51" i="34"/>
  <c r="M50" i="34"/>
  <c r="M49" i="34" s="1"/>
  <c r="L50" i="34"/>
  <c r="L49" i="34" s="1"/>
  <c r="K50" i="34"/>
  <c r="M48" i="34"/>
  <c r="L48" i="34"/>
  <c r="K48" i="34"/>
  <c r="M47" i="34"/>
  <c r="L47" i="34"/>
  <c r="K47" i="34"/>
  <c r="M46" i="34"/>
  <c r="L46" i="34"/>
  <c r="K46" i="34"/>
  <c r="M45" i="34"/>
  <c r="L45" i="34"/>
  <c r="K45" i="34"/>
  <c r="M44" i="34"/>
  <c r="L44" i="34"/>
  <c r="L41" i="34" s="1"/>
  <c r="K44" i="34"/>
  <c r="M43" i="34"/>
  <c r="L43" i="34"/>
  <c r="K43" i="34"/>
  <c r="M42" i="34"/>
  <c r="L42" i="34"/>
  <c r="K42" i="34"/>
  <c r="M40" i="34"/>
  <c r="L40" i="34"/>
  <c r="K40" i="34"/>
  <c r="M39" i="34"/>
  <c r="L39" i="34"/>
  <c r="K39" i="34"/>
  <c r="M38" i="34"/>
  <c r="L38" i="34"/>
  <c r="K38" i="34"/>
  <c r="M37" i="34"/>
  <c r="L37" i="34"/>
  <c r="K37" i="34"/>
  <c r="M36" i="34"/>
  <c r="L36" i="34"/>
  <c r="K36" i="34"/>
  <c r="M35" i="34"/>
  <c r="L35" i="34"/>
  <c r="L34" i="34" s="1"/>
  <c r="K35" i="34"/>
  <c r="M33" i="34"/>
  <c r="L33" i="34"/>
  <c r="K33" i="34"/>
  <c r="M32" i="34"/>
  <c r="L32" i="34"/>
  <c r="L31" i="34" s="1"/>
  <c r="K32" i="34"/>
  <c r="M30" i="34"/>
  <c r="L30" i="34"/>
  <c r="K30" i="34"/>
  <c r="M29" i="34"/>
  <c r="L29" i="34"/>
  <c r="K29" i="34"/>
  <c r="M28" i="34"/>
  <c r="L28" i="34"/>
  <c r="K28" i="34"/>
  <c r="M27" i="34"/>
  <c r="L27" i="34"/>
  <c r="K27" i="34"/>
  <c r="M26" i="34"/>
  <c r="L26" i="34"/>
  <c r="K26" i="34"/>
  <c r="M25" i="34"/>
  <c r="L25" i="34"/>
  <c r="K25" i="34"/>
  <c r="M24" i="34"/>
  <c r="L24" i="34"/>
  <c r="L23" i="34" s="1"/>
  <c r="K24" i="34"/>
  <c r="M20" i="34"/>
  <c r="L20" i="34"/>
  <c r="K20" i="34"/>
  <c r="M19" i="34"/>
  <c r="L19" i="34"/>
  <c r="K19" i="34"/>
  <c r="M18" i="34"/>
  <c r="L18" i="34"/>
  <c r="K18" i="34"/>
  <c r="M17" i="34"/>
  <c r="L17" i="34"/>
  <c r="K17" i="34"/>
  <c r="M15" i="34"/>
  <c r="L15" i="34"/>
  <c r="K15" i="34"/>
  <c r="M14" i="34"/>
  <c r="L14" i="34"/>
  <c r="K14" i="34"/>
  <c r="M13" i="34"/>
  <c r="L13" i="34"/>
  <c r="K13" i="34"/>
  <c r="M12" i="34"/>
  <c r="L12" i="34"/>
  <c r="K12" i="34"/>
  <c r="M11" i="34"/>
  <c r="L11" i="34"/>
  <c r="L10" i="34" s="1"/>
  <c r="K11" i="34"/>
  <c r="L102" i="34"/>
  <c r="M76" i="34" l="1"/>
  <c r="M83" i="34"/>
  <c r="L148" i="34"/>
  <c r="L153" i="34"/>
  <c r="M96" i="34"/>
  <c r="M148" i="34"/>
  <c r="M141" i="34"/>
  <c r="M102" i="34"/>
  <c r="M34" i="34"/>
  <c r="M31" i="34"/>
  <c r="M23" i="34"/>
  <c r="M10" i="34"/>
  <c r="L16" i="34"/>
  <c r="L135" i="34"/>
  <c r="L127" i="34"/>
  <c r="L119" i="34"/>
  <c r="L101" i="34"/>
  <c r="L22" i="34"/>
  <c r="L75" i="34"/>
  <c r="L57" i="34"/>
  <c r="L9" i="34"/>
  <c r="L8" i="34" s="1"/>
  <c r="L134" i="34" l="1"/>
  <c r="L133" i="34" s="1"/>
  <c r="L21" i="34"/>
  <c r="L167" i="34" l="1"/>
  <c r="L165" i="34"/>
  <c r="M135" i="34" l="1"/>
  <c r="M112" i="34"/>
  <c r="M101" i="34" s="1"/>
  <c r="K76" i="34"/>
  <c r="M41" i="34"/>
  <c r="F35" i="10" l="1"/>
  <c r="AF131" i="34" l="1"/>
  <c r="AF120" i="34"/>
  <c r="AF49" i="34"/>
  <c r="AF164" i="34" l="1"/>
  <c r="AQ163" i="34"/>
  <c r="Y161" i="34" l="1"/>
  <c r="Y160" i="34"/>
  <c r="Y159" i="34"/>
  <c r="Y158" i="34"/>
  <c r="Y157" i="34"/>
  <c r="Z157" i="34" s="1"/>
  <c r="Y156" i="34"/>
  <c r="Z156" i="34" s="1"/>
  <c r="Y155" i="34"/>
  <c r="Z155" i="34" s="1"/>
  <c r="Y149" i="34"/>
  <c r="Y150" i="34"/>
  <c r="Z150" i="34" s="1"/>
  <c r="Y147" i="34"/>
  <c r="Z147" i="34" s="1"/>
  <c r="Y146" i="34"/>
  <c r="Z146" i="34" s="1"/>
  <c r="Y145" i="34"/>
  <c r="Z145" i="34" s="1"/>
  <c r="Y140" i="34"/>
  <c r="Z140" i="34" s="1"/>
  <c r="Y138" i="34"/>
  <c r="Z138" i="34" s="1"/>
  <c r="Y99" i="34"/>
  <c r="Z99" i="34" s="1"/>
  <c r="Y66" i="34"/>
  <c r="Y65" i="34"/>
  <c r="Y62" i="34"/>
  <c r="Y56" i="34"/>
  <c r="Z56" i="34" s="1"/>
  <c r="Y47" i="34"/>
  <c r="Z47" i="34" s="1"/>
  <c r="Y46" i="34"/>
  <c r="Z46" i="34" s="1"/>
  <c r="Y45" i="34"/>
  <c r="Z45" i="34" s="1"/>
  <c r="Y44" i="34"/>
  <c r="Z44" i="34" s="1"/>
  <c r="Y43" i="34"/>
  <c r="Z43" i="34" s="1"/>
  <c r="Y42" i="34"/>
  <c r="Z42" i="34" s="1"/>
  <c r="Z39" i="34"/>
  <c r="Y38" i="34"/>
  <c r="Z38" i="34" s="1"/>
  <c r="K58" i="34"/>
  <c r="Y142" i="34"/>
  <c r="Z142" i="34" s="1"/>
  <c r="Y152" i="34"/>
  <c r="Z152" i="34" s="1"/>
  <c r="Y151" i="34"/>
  <c r="Z151" i="34" s="1"/>
  <c r="Z149" i="34"/>
  <c r="Y144" i="34"/>
  <c r="Z144" i="34" s="1"/>
  <c r="Y143" i="34"/>
  <c r="Z143" i="34" s="1"/>
  <c r="Z161" i="34"/>
  <c r="Z160" i="34"/>
  <c r="Z159" i="34"/>
  <c r="Z158" i="34"/>
  <c r="Y139" i="34"/>
  <c r="Z139" i="34" s="1"/>
  <c r="Y137" i="34"/>
  <c r="Z137" i="34" s="1"/>
  <c r="Y136" i="34"/>
  <c r="Z136" i="34" s="1"/>
  <c r="Y132" i="34"/>
  <c r="Z132" i="34" s="1"/>
  <c r="Z131" i="34" s="1"/>
  <c r="Y130" i="34"/>
  <c r="Z130" i="34" s="1"/>
  <c r="Y129" i="34"/>
  <c r="Z129" i="34" s="1"/>
  <c r="Y126" i="34"/>
  <c r="Z126" i="34" s="1"/>
  <c r="Y125" i="34"/>
  <c r="Z125" i="34" s="1"/>
  <c r="Y123" i="34"/>
  <c r="Z123" i="34" s="1"/>
  <c r="Y122" i="34"/>
  <c r="Z122" i="34" s="1"/>
  <c r="Y121" i="34"/>
  <c r="Z121" i="34" s="1"/>
  <c r="Y118" i="34"/>
  <c r="Z118" i="34" s="1"/>
  <c r="Y117" i="34"/>
  <c r="Z117" i="34" s="1"/>
  <c r="Y115" i="34"/>
  <c r="Z115" i="34" s="1"/>
  <c r="Y114" i="34"/>
  <c r="Z114" i="34" s="1"/>
  <c r="Y113" i="34"/>
  <c r="Z113" i="34" s="1"/>
  <c r="Y111" i="34"/>
  <c r="Z111" i="34" s="1"/>
  <c r="Y110" i="34"/>
  <c r="Z110" i="34" s="1"/>
  <c r="Y109" i="34"/>
  <c r="Z109" i="34" s="1"/>
  <c r="Y108" i="34"/>
  <c r="Z108" i="34" s="1"/>
  <c r="Y107" i="34"/>
  <c r="Z107" i="34" s="1"/>
  <c r="Y105" i="34"/>
  <c r="Z105" i="34" s="1"/>
  <c r="Y104" i="34"/>
  <c r="Z104" i="34" s="1"/>
  <c r="Y103" i="34"/>
  <c r="Z103" i="34" s="1"/>
  <c r="Y100" i="34"/>
  <c r="Z100" i="34" s="1"/>
  <c r="Y98" i="34"/>
  <c r="Z98" i="34" s="1"/>
  <c r="Y97" i="34"/>
  <c r="Z97" i="34" s="1"/>
  <c r="Y94" i="34"/>
  <c r="Z94" i="34" s="1"/>
  <c r="Y93" i="34"/>
  <c r="Z93" i="34"/>
  <c r="Y92" i="34"/>
  <c r="Z92" i="34" s="1"/>
  <c r="Y91" i="34"/>
  <c r="Z91" i="34" s="1"/>
  <c r="Y90" i="34"/>
  <c r="Z90" i="34" s="1"/>
  <c r="Y89" i="34"/>
  <c r="Z89" i="34" s="1"/>
  <c r="Y88" i="34"/>
  <c r="Z88" i="34" s="1"/>
  <c r="Y87" i="34"/>
  <c r="Z87" i="34" s="1"/>
  <c r="Y86" i="34"/>
  <c r="Z86" i="34" s="1"/>
  <c r="Y85" i="34"/>
  <c r="Z85" i="34" s="1"/>
  <c r="Y84" i="34"/>
  <c r="Z84" i="34" s="1"/>
  <c r="Y82" i="34"/>
  <c r="Z82" i="34" s="1"/>
  <c r="Y81" i="34"/>
  <c r="Z81" i="34" s="1"/>
  <c r="Y80" i="34"/>
  <c r="Z80" i="34" s="1"/>
  <c r="Y79" i="34"/>
  <c r="Z79" i="34" s="1"/>
  <c r="Y78" i="34"/>
  <c r="Z78" i="34" s="1"/>
  <c r="Y77" i="34"/>
  <c r="Z77" i="34" s="1"/>
  <c r="Y74" i="34"/>
  <c r="Z74" i="34" s="1"/>
  <c r="Y73" i="34"/>
  <c r="Z73" i="34" s="1"/>
  <c r="Y72" i="34"/>
  <c r="Z72" i="34" s="1"/>
  <c r="Y71" i="34"/>
  <c r="Z71" i="34" s="1"/>
  <c r="Y69" i="34"/>
  <c r="Z69" i="34" s="1"/>
  <c r="Y68" i="34"/>
  <c r="Z68" i="34" s="1"/>
  <c r="Z66" i="34"/>
  <c r="Z65" i="34"/>
  <c r="Y64" i="34"/>
  <c r="Z64" i="34" s="1"/>
  <c r="Y63" i="34"/>
  <c r="Z63" i="34" s="1"/>
  <c r="Z62" i="34"/>
  <c r="Y60" i="34"/>
  <c r="Z60" i="34" s="1"/>
  <c r="Y59" i="34"/>
  <c r="Z59" i="34" s="1"/>
  <c r="Y55" i="34"/>
  <c r="Z55" i="34" s="1"/>
  <c r="Z54" i="34"/>
  <c r="Y53" i="34"/>
  <c r="Z53" i="34" s="1"/>
  <c r="Y51" i="34"/>
  <c r="Z51" i="34" s="1"/>
  <c r="Y50" i="34"/>
  <c r="Z50" i="34" s="1"/>
  <c r="Y48" i="34"/>
  <c r="Z48" i="34" s="1"/>
  <c r="Y40" i="34"/>
  <c r="Z40" i="34" s="1"/>
  <c r="Y37" i="34"/>
  <c r="Z37" i="34" s="1"/>
  <c r="Z36" i="34"/>
  <c r="Z35" i="34"/>
  <c r="Y33" i="34"/>
  <c r="Z33" i="34" s="1"/>
  <c r="Z32" i="34"/>
  <c r="Z30" i="34"/>
  <c r="Y29" i="34"/>
  <c r="Z29" i="34" s="1"/>
  <c r="Z28" i="34"/>
  <c r="Y27" i="34"/>
  <c r="Z27" i="34" s="1"/>
  <c r="Y26" i="34"/>
  <c r="Z26" i="34" s="1"/>
  <c r="Y25" i="34"/>
  <c r="Z25" i="34" s="1"/>
  <c r="Z24" i="34"/>
  <c r="Y20" i="34"/>
  <c r="Z20" i="34" s="1"/>
  <c r="Y19" i="34"/>
  <c r="Z19" i="34" s="1"/>
  <c r="Y18" i="34"/>
  <c r="Z18" i="34" s="1"/>
  <c r="Y17" i="34"/>
  <c r="Z17" i="34" s="1"/>
  <c r="Y15" i="34"/>
  <c r="Z15" i="34" s="1"/>
  <c r="Y14" i="34"/>
  <c r="Z14" i="34" s="1"/>
  <c r="Y13" i="34"/>
  <c r="Z13" i="34" s="1"/>
  <c r="Y12" i="34"/>
  <c r="Z12" i="34" s="1"/>
  <c r="Y11" i="34"/>
  <c r="Z11" i="34" s="1"/>
  <c r="K153" i="34"/>
  <c r="M134" i="34"/>
  <c r="M133" i="34" s="1"/>
  <c r="M131" i="34"/>
  <c r="K131" i="34"/>
  <c r="M128" i="34"/>
  <c r="K128" i="34"/>
  <c r="K127" i="34" s="1"/>
  <c r="K124" i="34"/>
  <c r="K119" i="34" s="1"/>
  <c r="K116" i="34"/>
  <c r="K112" i="34"/>
  <c r="K106" i="34"/>
  <c r="K102" i="34"/>
  <c r="K96" i="34"/>
  <c r="K95" i="34" s="1"/>
  <c r="K83" i="34"/>
  <c r="K75" i="34" s="1"/>
  <c r="K70" i="34"/>
  <c r="K61" i="34"/>
  <c r="K52" i="34"/>
  <c r="K31" i="34"/>
  <c r="M16" i="34"/>
  <c r="A2" i="34"/>
  <c r="B4" i="34"/>
  <c r="AD9" i="34"/>
  <c r="AE9" i="34"/>
  <c r="AE8" i="34" s="1"/>
  <c r="AO9" i="34"/>
  <c r="AO8" i="34" s="1"/>
  <c r="AP9" i="34"/>
  <c r="AP8" i="34" s="1"/>
  <c r="AQ8" i="34" s="1"/>
  <c r="AF10" i="34"/>
  <c r="AQ10" i="34"/>
  <c r="AF16" i="34"/>
  <c r="AQ16" i="34"/>
  <c r="AD22" i="34"/>
  <c r="AE22" i="34"/>
  <c r="AO22" i="34"/>
  <c r="AQ34" i="34"/>
  <c r="AQ52" i="34"/>
  <c r="AP22" i="34"/>
  <c r="AF23" i="34"/>
  <c r="AQ23" i="34"/>
  <c r="AF31" i="34"/>
  <c r="AQ31" i="34"/>
  <c r="AF34" i="34"/>
  <c r="AF41" i="34"/>
  <c r="AQ41" i="34"/>
  <c r="AQ49" i="34"/>
  <c r="AF52" i="34"/>
  <c r="AD57" i="34"/>
  <c r="AH57" i="34" s="1"/>
  <c r="AE57" i="34"/>
  <c r="AO57" i="34"/>
  <c r="AQ67" i="34"/>
  <c r="AQ70" i="34"/>
  <c r="AF58" i="34"/>
  <c r="AQ58" i="34"/>
  <c r="AF61" i="34"/>
  <c r="AF67" i="34"/>
  <c r="AF70" i="34"/>
  <c r="AD75" i="34"/>
  <c r="AH75" i="34" s="1"/>
  <c r="AE75" i="34"/>
  <c r="AO75" i="34"/>
  <c r="AQ76" i="34"/>
  <c r="AF76" i="34"/>
  <c r="AF83" i="34"/>
  <c r="AQ83" i="34"/>
  <c r="AD95" i="34"/>
  <c r="AH95" i="34" s="1"/>
  <c r="AE95" i="34"/>
  <c r="AO95" i="34"/>
  <c r="AP95" i="34"/>
  <c r="AF96" i="34"/>
  <c r="AD101" i="34"/>
  <c r="AH101" i="34" s="1"/>
  <c r="AE101" i="34"/>
  <c r="AO101" i="34"/>
  <c r="AQ106" i="34"/>
  <c r="AQ102" i="34"/>
  <c r="AF106" i="34"/>
  <c r="AF112" i="34"/>
  <c r="AQ112" i="34"/>
  <c r="AF116" i="34"/>
  <c r="AQ116" i="34"/>
  <c r="AD119" i="34"/>
  <c r="AH119" i="34" s="1"/>
  <c r="AE119" i="34"/>
  <c r="AO119" i="34"/>
  <c r="AQ120" i="34"/>
  <c r="AQ124" i="34"/>
  <c r="AF124" i="34"/>
  <c r="AD127" i="34"/>
  <c r="AH127" i="34" s="1"/>
  <c r="AE127" i="34"/>
  <c r="AO127" i="34"/>
  <c r="AQ131" i="34"/>
  <c r="AF128" i="34"/>
  <c r="AQ128" i="34"/>
  <c r="AD134" i="34"/>
  <c r="AE134" i="34"/>
  <c r="AE133" i="34" s="1"/>
  <c r="AO134" i="34"/>
  <c r="AQ135" i="34"/>
  <c r="AF135" i="34"/>
  <c r="AF141" i="34"/>
  <c r="AQ141" i="34"/>
  <c r="AF148" i="34"/>
  <c r="AQ148" i="34"/>
  <c r="AF153" i="34"/>
  <c r="AQ153" i="34"/>
  <c r="AQ164" i="34"/>
  <c r="F10" i="12"/>
  <c r="I15" i="33"/>
  <c r="I25" i="12" s="1"/>
  <c r="M26" i="12"/>
  <c r="M37" i="27"/>
  <c r="M38" i="27" s="1"/>
  <c r="I29" i="21"/>
  <c r="I28" i="21"/>
  <c r="I27" i="21"/>
  <c r="I26" i="21"/>
  <c r="I25" i="21"/>
  <c r="I24" i="21"/>
  <c r="I23" i="21"/>
  <c r="E23" i="33" s="1"/>
  <c r="I30" i="21" s="1"/>
  <c r="D8" i="21" s="1"/>
  <c r="C24" i="19" s="1"/>
  <c r="L24" i="19" s="1"/>
  <c r="E4" i="29"/>
  <c r="A2" i="29"/>
  <c r="E4" i="28"/>
  <c r="A2" i="28"/>
  <c r="E4" i="27"/>
  <c r="A2" i="27"/>
  <c r="E4" i="26"/>
  <c r="A2" i="26"/>
  <c r="E4" i="25"/>
  <c r="A2" i="25"/>
  <c r="E4" i="24"/>
  <c r="A2" i="24"/>
  <c r="E4" i="23"/>
  <c r="A2" i="23"/>
  <c r="E36" i="22"/>
  <c r="E37" i="22"/>
  <c r="E38" i="22"/>
  <c r="E39" i="22"/>
  <c r="E40" i="22"/>
  <c r="E41" i="22"/>
  <c r="E4" i="22"/>
  <c r="A2" i="22"/>
  <c r="E4" i="21"/>
  <c r="A2" i="21"/>
  <c r="E4" i="20"/>
  <c r="A2" i="20"/>
  <c r="E4" i="18"/>
  <c r="A2" i="18"/>
  <c r="E4" i="17"/>
  <c r="A2" i="17"/>
  <c r="E4" i="16"/>
  <c r="A2" i="16"/>
  <c r="E4" i="15"/>
  <c r="A2" i="15"/>
  <c r="E4" i="14"/>
  <c r="A2" i="14"/>
  <c r="E4" i="13"/>
  <c r="A2" i="13"/>
  <c r="E4" i="12"/>
  <c r="A2" i="12"/>
  <c r="E4" i="11"/>
  <c r="A2" i="11"/>
  <c r="E4" i="10"/>
  <c r="A2" i="10"/>
  <c r="E4" i="9"/>
  <c r="A2" i="9"/>
  <c r="E4" i="8"/>
  <c r="A2" i="8"/>
  <c r="E4" i="6"/>
  <c r="A2" i="6"/>
  <c r="E4" i="5"/>
  <c r="A2" i="5"/>
  <c r="E4" i="4"/>
  <c r="A2" i="4"/>
  <c r="E4" i="3"/>
  <c r="A2" i="3"/>
  <c r="E4" i="2"/>
  <c r="A2" i="2"/>
  <c r="E4" i="1"/>
  <c r="A2" i="1"/>
  <c r="C4" i="19"/>
  <c r="A2" i="19"/>
  <c r="D11" i="22"/>
  <c r="J11" i="19"/>
  <c r="N11" i="19" s="1"/>
  <c r="J10" i="19"/>
  <c r="N10" i="19"/>
  <c r="J9" i="19"/>
  <c r="N9" i="19" s="1"/>
  <c r="J8" i="19"/>
  <c r="N8" i="19"/>
  <c r="J7" i="19"/>
  <c r="N7" i="19" s="1"/>
  <c r="J6" i="19"/>
  <c r="N6" i="19" s="1"/>
  <c r="J32" i="19"/>
  <c r="N32" i="19" s="1"/>
  <c r="J31" i="19"/>
  <c r="N31" i="19"/>
  <c r="J30" i="19"/>
  <c r="N30" i="19" s="1"/>
  <c r="J29" i="19"/>
  <c r="N29" i="19"/>
  <c r="J28" i="19"/>
  <c r="N28" i="19"/>
  <c r="J27" i="19"/>
  <c r="N27" i="19"/>
  <c r="J26" i="19"/>
  <c r="N26" i="19" s="1"/>
  <c r="J25" i="19"/>
  <c r="N25" i="19"/>
  <c r="J24" i="19"/>
  <c r="N24" i="19" s="1"/>
  <c r="J23" i="19"/>
  <c r="N23" i="19"/>
  <c r="J22" i="19"/>
  <c r="N22" i="19"/>
  <c r="J21" i="19"/>
  <c r="N21" i="19"/>
  <c r="J20" i="19"/>
  <c r="N20" i="19" s="1"/>
  <c r="J19" i="19"/>
  <c r="N19" i="19"/>
  <c r="J18" i="19"/>
  <c r="N18" i="19" s="1"/>
  <c r="J17" i="19"/>
  <c r="N17" i="19" s="1"/>
  <c r="J16" i="19"/>
  <c r="N16" i="19" s="1"/>
  <c r="J15" i="19"/>
  <c r="N15" i="19" s="1"/>
  <c r="J14" i="19"/>
  <c r="N14" i="19" s="1"/>
  <c r="J13" i="19"/>
  <c r="N13" i="19" s="1"/>
  <c r="J12" i="19"/>
  <c r="N12" i="19"/>
  <c r="H6" i="19"/>
  <c r="I32" i="19"/>
  <c r="M32" i="19" s="1"/>
  <c r="I31" i="19"/>
  <c r="M31" i="19" s="1"/>
  <c r="I30" i="19"/>
  <c r="M30" i="19" s="1"/>
  <c r="I29" i="19"/>
  <c r="M29" i="19" s="1"/>
  <c r="I28" i="19"/>
  <c r="M28" i="19" s="1"/>
  <c r="I27" i="19"/>
  <c r="M27" i="19" s="1"/>
  <c r="I26" i="19"/>
  <c r="M26" i="19" s="1"/>
  <c r="I25" i="19"/>
  <c r="M25" i="19" s="1"/>
  <c r="I24" i="19"/>
  <c r="M24" i="19" s="1"/>
  <c r="I23" i="19"/>
  <c r="M23" i="19" s="1"/>
  <c r="I22" i="19"/>
  <c r="M22" i="19" s="1"/>
  <c r="I21" i="19"/>
  <c r="M21" i="19" s="1"/>
  <c r="I20" i="19"/>
  <c r="M20" i="19" s="1"/>
  <c r="I19" i="19"/>
  <c r="M19" i="19" s="1"/>
  <c r="I18" i="19"/>
  <c r="M18" i="19" s="1"/>
  <c r="I17" i="19"/>
  <c r="M17" i="19" s="1"/>
  <c r="I16" i="19"/>
  <c r="M16" i="19" s="1"/>
  <c r="I15" i="19"/>
  <c r="M15" i="19" s="1"/>
  <c r="I14" i="19"/>
  <c r="M14" i="19" s="1"/>
  <c r="I13" i="19"/>
  <c r="M13" i="19" s="1"/>
  <c r="I12" i="19"/>
  <c r="M12" i="19" s="1"/>
  <c r="I11" i="19"/>
  <c r="M11" i="19" s="1"/>
  <c r="I10" i="19"/>
  <c r="M10" i="19" s="1"/>
  <c r="I9" i="19"/>
  <c r="M9" i="19" s="1"/>
  <c r="I8" i="19"/>
  <c r="M8" i="19" s="1"/>
  <c r="I7" i="19"/>
  <c r="M7" i="19" s="1"/>
  <c r="H29" i="19"/>
  <c r="H15" i="19"/>
  <c r="H32" i="19"/>
  <c r="H31" i="19"/>
  <c r="H30" i="19"/>
  <c r="H28" i="19"/>
  <c r="H27" i="19"/>
  <c r="H26" i="19"/>
  <c r="H25" i="19"/>
  <c r="H24" i="19"/>
  <c r="H23" i="19"/>
  <c r="H22" i="19"/>
  <c r="H21" i="19"/>
  <c r="H20" i="19"/>
  <c r="H19" i="19"/>
  <c r="H18" i="19"/>
  <c r="H17" i="19"/>
  <c r="H16" i="19"/>
  <c r="H14" i="19"/>
  <c r="H13" i="19"/>
  <c r="H12" i="19"/>
  <c r="H11" i="19"/>
  <c r="H10" i="19"/>
  <c r="H9" i="19"/>
  <c r="H8" i="19"/>
  <c r="H7" i="19"/>
  <c r="D12" i="3"/>
  <c r="D11" i="3"/>
  <c r="F10" i="3"/>
  <c r="D12" i="4"/>
  <c r="D11" i="4"/>
  <c r="F10" i="4"/>
  <c r="D12" i="5"/>
  <c r="D11" i="5"/>
  <c r="F10" i="5"/>
  <c r="D12" i="6"/>
  <c r="D11" i="6"/>
  <c r="F10" i="6"/>
  <c r="D12" i="8"/>
  <c r="D11" i="8"/>
  <c r="F10" i="8"/>
  <c r="D12" i="9"/>
  <c r="D11" i="9"/>
  <c r="F10" i="9"/>
  <c r="D13" i="10"/>
  <c r="D12" i="10"/>
  <c r="F11" i="10"/>
  <c r="D12" i="11"/>
  <c r="D11" i="11"/>
  <c r="F10" i="11"/>
  <c r="D12" i="12"/>
  <c r="D11" i="12"/>
  <c r="D12" i="13"/>
  <c r="D11" i="13"/>
  <c r="F10" i="13"/>
  <c r="D12" i="14"/>
  <c r="D11" i="14"/>
  <c r="F10" i="14"/>
  <c r="D12" i="15"/>
  <c r="D11" i="15"/>
  <c r="F10" i="15"/>
  <c r="D12" i="16"/>
  <c r="D11" i="16"/>
  <c r="F10" i="16"/>
  <c r="D12" i="17"/>
  <c r="D11" i="17"/>
  <c r="F10" i="17"/>
  <c r="D12" i="18"/>
  <c r="D11" i="18"/>
  <c r="F10" i="18"/>
  <c r="D12" i="20"/>
  <c r="D11" i="20"/>
  <c r="F10" i="20"/>
  <c r="D12" i="21"/>
  <c r="D11" i="21"/>
  <c r="F10" i="21"/>
  <c r="D12" i="22"/>
  <c r="F10" i="22"/>
  <c r="D12" i="23"/>
  <c r="D11" i="23"/>
  <c r="F10" i="23"/>
  <c r="D12" i="24"/>
  <c r="D11" i="24"/>
  <c r="F10" i="24"/>
  <c r="D12" i="25"/>
  <c r="D11" i="25"/>
  <c r="F10" i="25"/>
  <c r="D11" i="26"/>
  <c r="D10" i="26"/>
  <c r="F9" i="26"/>
  <c r="D12" i="27"/>
  <c r="D11" i="27"/>
  <c r="F10" i="27"/>
  <c r="D12" i="28"/>
  <c r="D11" i="28"/>
  <c r="F10" i="28"/>
  <c r="D12" i="29"/>
  <c r="D11" i="29"/>
  <c r="F10" i="29"/>
  <c r="D12" i="2"/>
  <c r="D11" i="2"/>
  <c r="F10" i="2"/>
  <c r="I6" i="19"/>
  <c r="M6" i="19" s="1"/>
  <c r="D12" i="1"/>
  <c r="D11" i="1"/>
  <c r="F10" i="1"/>
  <c r="G30" i="29"/>
  <c r="D29" i="33"/>
  <c r="E81" i="27" s="1"/>
  <c r="F57" i="23"/>
  <c r="D56" i="23"/>
  <c r="D55" i="23"/>
  <c r="D54" i="23"/>
  <c r="D53" i="23"/>
  <c r="D52" i="23"/>
  <c r="D26" i="33"/>
  <c r="F122" i="24"/>
  <c r="D117" i="24"/>
  <c r="D118" i="24"/>
  <c r="D119" i="24"/>
  <c r="D120" i="24"/>
  <c r="D121" i="24"/>
  <c r="D20" i="33"/>
  <c r="H30" i="17"/>
  <c r="I22" i="17"/>
  <c r="H21" i="16"/>
  <c r="H22" i="16"/>
  <c r="G21" i="16"/>
  <c r="G22" i="16" s="1"/>
  <c r="D8" i="16" s="1"/>
  <c r="C20" i="19" s="1"/>
  <c r="L20" i="19" s="1"/>
  <c r="F21" i="16"/>
  <c r="F22" i="16" s="1"/>
  <c r="E21" i="16"/>
  <c r="E22" i="16"/>
  <c r="Q21" i="14"/>
  <c r="Q20" i="14"/>
  <c r="Q19" i="14"/>
  <c r="L45" i="12"/>
  <c r="M27" i="12"/>
  <c r="N17" i="12"/>
  <c r="N18" i="12"/>
  <c r="N19" i="12"/>
  <c r="N20" i="12" s="1"/>
  <c r="N21" i="12" s="1"/>
  <c r="M22" i="12"/>
  <c r="M46" i="12"/>
  <c r="M33" i="12" s="1"/>
  <c r="K28" i="12"/>
  <c r="K43" i="12"/>
  <c r="K27" i="12"/>
  <c r="K42" i="12"/>
  <c r="K26" i="12"/>
  <c r="K41" i="12"/>
  <c r="K29" i="12"/>
  <c r="K44" i="12" s="1"/>
  <c r="M29" i="12"/>
  <c r="M28" i="12"/>
  <c r="M30" i="12" s="1"/>
  <c r="M31" i="12" s="1"/>
  <c r="E20" i="12"/>
  <c r="G15" i="33" s="1"/>
  <c r="H30" i="12" s="1"/>
  <c r="E69" i="10"/>
  <c r="H58" i="10"/>
  <c r="G58" i="10"/>
  <c r="F58" i="10"/>
  <c r="E58" i="10"/>
  <c r="E46" i="10"/>
  <c r="E35" i="10"/>
  <c r="J18" i="11"/>
  <c r="H69" i="10"/>
  <c r="G69" i="10"/>
  <c r="F69" i="10"/>
  <c r="H94" i="10"/>
  <c r="G94" i="10"/>
  <c r="F94" i="10"/>
  <c r="H95" i="10"/>
  <c r="H96" i="10" s="1"/>
  <c r="G95" i="10"/>
  <c r="F95" i="10"/>
  <c r="F96" i="10" s="1"/>
  <c r="D9" i="10" s="1"/>
  <c r="C14" i="19" s="1"/>
  <c r="L14" i="19" s="1"/>
  <c r="H46" i="10"/>
  <c r="G46" i="10"/>
  <c r="F46" i="10"/>
  <c r="E95" i="10"/>
  <c r="I95" i="10" s="1"/>
  <c r="I96" i="10" s="1"/>
  <c r="E94" i="10"/>
  <c r="H35" i="10"/>
  <c r="G35" i="10"/>
  <c r="F24" i="10"/>
  <c r="E24" i="10"/>
  <c r="D70" i="1"/>
  <c r="D88" i="1"/>
  <c r="G81" i="1"/>
  <c r="H81" i="1"/>
  <c r="I81" i="1"/>
  <c r="J81" i="1"/>
  <c r="G82" i="1"/>
  <c r="H82" i="1"/>
  <c r="I82" i="1"/>
  <c r="J82" i="1"/>
  <c r="G83" i="1"/>
  <c r="H83" i="1"/>
  <c r="I83" i="1"/>
  <c r="J83" i="1"/>
  <c r="G84" i="1"/>
  <c r="H84" i="1"/>
  <c r="I84" i="1"/>
  <c r="J84" i="1"/>
  <c r="G85" i="1"/>
  <c r="H85" i="1"/>
  <c r="I85" i="1"/>
  <c r="J85" i="1"/>
  <c r="G86" i="1"/>
  <c r="H86" i="1"/>
  <c r="I86" i="1"/>
  <c r="J86" i="1"/>
  <c r="G87" i="1"/>
  <c r="H87" i="1"/>
  <c r="I87" i="1"/>
  <c r="J87" i="1"/>
  <c r="G88" i="1"/>
  <c r="H88" i="1"/>
  <c r="I88" i="1"/>
  <c r="J88" i="1"/>
  <c r="G89" i="1"/>
  <c r="H89" i="1"/>
  <c r="I89" i="1"/>
  <c r="J89" i="1"/>
  <c r="G90" i="1"/>
  <c r="H90" i="1"/>
  <c r="I90" i="1"/>
  <c r="J90" i="1"/>
  <c r="G91" i="1"/>
  <c r="H91" i="1"/>
  <c r="I91" i="1"/>
  <c r="J91" i="1"/>
  <c r="G92" i="1"/>
  <c r="H92" i="1"/>
  <c r="I92" i="1"/>
  <c r="J92" i="1"/>
  <c r="G93" i="1"/>
  <c r="H93" i="1"/>
  <c r="I93" i="1"/>
  <c r="J93" i="1"/>
  <c r="D63" i="1"/>
  <c r="D81" i="1" s="1"/>
  <c r="E63" i="1"/>
  <c r="E81" i="1"/>
  <c r="F63" i="1"/>
  <c r="F81" i="1" s="1"/>
  <c r="D64" i="1"/>
  <c r="D82" i="1"/>
  <c r="E64" i="1"/>
  <c r="E82" i="1"/>
  <c r="F64" i="1"/>
  <c r="F82" i="1"/>
  <c r="D65" i="1"/>
  <c r="D83" i="1" s="1"/>
  <c r="E65" i="1"/>
  <c r="E83" i="1"/>
  <c r="F65" i="1"/>
  <c r="F83" i="1" s="1"/>
  <c r="D66" i="1"/>
  <c r="D84" i="1"/>
  <c r="E66" i="1"/>
  <c r="E84" i="1"/>
  <c r="F66" i="1"/>
  <c r="F84" i="1"/>
  <c r="D67" i="1"/>
  <c r="D85" i="1" s="1"/>
  <c r="E67" i="1"/>
  <c r="E85" i="1"/>
  <c r="F67" i="1"/>
  <c r="F85" i="1" s="1"/>
  <c r="D68" i="1"/>
  <c r="D86" i="1"/>
  <c r="E68" i="1"/>
  <c r="E86" i="1"/>
  <c r="F68" i="1"/>
  <c r="F86" i="1"/>
  <c r="D69" i="1"/>
  <c r="D87" i="1" s="1"/>
  <c r="E69" i="1"/>
  <c r="E87" i="1"/>
  <c r="F69" i="1"/>
  <c r="F87" i="1" s="1"/>
  <c r="E70" i="1"/>
  <c r="E88" i="1"/>
  <c r="F70" i="1"/>
  <c r="F88" i="1"/>
  <c r="D71" i="1"/>
  <c r="D89" i="1"/>
  <c r="E71" i="1"/>
  <c r="E89" i="1" s="1"/>
  <c r="F71" i="1"/>
  <c r="F89" i="1"/>
  <c r="D72" i="1"/>
  <c r="D90" i="1" s="1"/>
  <c r="E72" i="1"/>
  <c r="E90" i="1"/>
  <c r="F72" i="1"/>
  <c r="F90" i="1"/>
  <c r="D73" i="1"/>
  <c r="D91" i="1"/>
  <c r="E73" i="1"/>
  <c r="E91" i="1" s="1"/>
  <c r="F73" i="1"/>
  <c r="F91" i="1"/>
  <c r="D74" i="1"/>
  <c r="D92" i="1" s="1"/>
  <c r="E74" i="1"/>
  <c r="E92" i="1"/>
  <c r="F74" i="1"/>
  <c r="F92" i="1"/>
  <c r="D75" i="1"/>
  <c r="D93" i="1"/>
  <c r="E75" i="1"/>
  <c r="E93" i="1" s="1"/>
  <c r="F75" i="1"/>
  <c r="F93" i="1"/>
  <c r="D62" i="1"/>
  <c r="D80" i="1" s="1"/>
  <c r="G97" i="1" s="1"/>
  <c r="E15" i="33"/>
  <c r="F30" i="12"/>
  <c r="F15" i="33"/>
  <c r="G30" i="12"/>
  <c r="F44" i="20"/>
  <c r="F43" i="20"/>
  <c r="F42" i="20"/>
  <c r="F41" i="20"/>
  <c r="F40" i="20"/>
  <c r="F39" i="20"/>
  <c r="E43" i="20"/>
  <c r="E42" i="20"/>
  <c r="E41" i="20"/>
  <c r="E40" i="20"/>
  <c r="E39" i="20"/>
  <c r="E44" i="20"/>
  <c r="E20" i="20"/>
  <c r="I18" i="20"/>
  <c r="E42" i="21"/>
  <c r="D42" i="21"/>
  <c r="E41" i="21"/>
  <c r="D41" i="21"/>
  <c r="E40" i="21"/>
  <c r="D40" i="21"/>
  <c r="E39" i="21"/>
  <c r="D39" i="21"/>
  <c r="E38" i="21"/>
  <c r="D38" i="21"/>
  <c r="E37" i="21"/>
  <c r="D37" i="21"/>
  <c r="E36" i="21"/>
  <c r="D36" i="21"/>
  <c r="G43" i="21"/>
  <c r="H43" i="21"/>
  <c r="I43" i="21"/>
  <c r="F36" i="22"/>
  <c r="G41" i="29"/>
  <c r="G40" i="29"/>
  <c r="G39" i="29"/>
  <c r="G38" i="29"/>
  <c r="G37" i="29"/>
  <c r="G36" i="29"/>
  <c r="G41" i="22"/>
  <c r="G40" i="22"/>
  <c r="G39" i="22"/>
  <c r="G38" i="22"/>
  <c r="G37" i="22"/>
  <c r="G36" i="22"/>
  <c r="F41" i="22"/>
  <c r="F40" i="22"/>
  <c r="F39" i="22"/>
  <c r="F38" i="22"/>
  <c r="F37" i="22"/>
  <c r="F37" i="29"/>
  <c r="F36" i="29"/>
  <c r="E21" i="25"/>
  <c r="F27" i="28"/>
  <c r="E27" i="28"/>
  <c r="E21" i="28"/>
  <c r="G21" i="28"/>
  <c r="F21" i="28"/>
  <c r="J20" i="27"/>
  <c r="E24" i="27"/>
  <c r="I20" i="27"/>
  <c r="E23" i="27"/>
  <c r="F41" i="29"/>
  <c r="F40" i="29"/>
  <c r="F39" i="29"/>
  <c r="E41" i="29"/>
  <c r="E40" i="29"/>
  <c r="E39" i="29"/>
  <c r="E37" i="29"/>
  <c r="E36" i="29"/>
  <c r="E42" i="29" s="1"/>
  <c r="D8" i="29" s="1"/>
  <c r="C32" i="19" s="1"/>
  <c r="L32" i="19" s="1"/>
  <c r="J36" i="21"/>
  <c r="H20" i="20"/>
  <c r="G20" i="20"/>
  <c r="D8" i="20" s="1"/>
  <c r="C23" i="19" s="1"/>
  <c r="L23" i="19" s="1"/>
  <c r="F20" i="20"/>
  <c r="H22" i="18"/>
  <c r="G22" i="18"/>
  <c r="D8" i="18" s="1"/>
  <c r="F22" i="18"/>
  <c r="C22" i="19" s="1"/>
  <c r="L22" i="19" s="1"/>
  <c r="E22" i="18"/>
  <c r="I21" i="15"/>
  <c r="H21" i="15"/>
  <c r="F21" i="15"/>
  <c r="E21" i="15"/>
  <c r="P22" i="14"/>
  <c r="O22" i="14"/>
  <c r="N22" i="14"/>
  <c r="M22" i="14"/>
  <c r="L22" i="14"/>
  <c r="K22" i="14"/>
  <c r="J22" i="14"/>
  <c r="I22" i="14"/>
  <c r="H22" i="14"/>
  <c r="G22" i="14"/>
  <c r="F22" i="14"/>
  <c r="E22" i="14"/>
  <c r="E20" i="13"/>
  <c r="F20" i="13"/>
  <c r="I20" i="11"/>
  <c r="H20" i="11"/>
  <c r="G20" i="11"/>
  <c r="F20" i="11"/>
  <c r="D8" i="11"/>
  <c r="C15" i="19" s="1"/>
  <c r="L15" i="19" s="1"/>
  <c r="E20" i="11"/>
  <c r="H19" i="9"/>
  <c r="G19" i="9"/>
  <c r="D8" i="9" s="1"/>
  <c r="F19" i="9"/>
  <c r="E19" i="9"/>
  <c r="H19" i="8"/>
  <c r="G19" i="8"/>
  <c r="D8" i="8" s="1"/>
  <c r="C12" i="19" s="1"/>
  <c r="L12" i="19" s="1"/>
  <c r="F19" i="8"/>
  <c r="E19" i="8"/>
  <c r="H22" i="5"/>
  <c r="G22" i="5"/>
  <c r="D8" i="5" s="1"/>
  <c r="F22" i="5"/>
  <c r="E22" i="5"/>
  <c r="C10" i="19"/>
  <c r="L10" i="19" s="1"/>
  <c r="H23" i="4"/>
  <c r="G23" i="4"/>
  <c r="D8" i="4" s="1"/>
  <c r="F23" i="4"/>
  <c r="E23" i="4"/>
  <c r="C9" i="19"/>
  <c r="L9" i="19"/>
  <c r="H22" i="3"/>
  <c r="G22" i="3"/>
  <c r="F22" i="3"/>
  <c r="E22" i="3"/>
  <c r="D8" i="3" s="1"/>
  <c r="C8" i="19" s="1"/>
  <c r="L8" i="19" s="1"/>
  <c r="H23" i="2"/>
  <c r="G23" i="2"/>
  <c r="F23" i="2"/>
  <c r="E23" i="2"/>
  <c r="D8" i="2"/>
  <c r="C7" i="19" s="1"/>
  <c r="L7" i="19" s="1"/>
  <c r="H40" i="13"/>
  <c r="I52" i="10"/>
  <c r="D24" i="33"/>
  <c r="D42" i="22" s="1"/>
  <c r="D23" i="33"/>
  <c r="H30" i="21"/>
  <c r="D22" i="33"/>
  <c r="D45" i="20"/>
  <c r="D5" i="33"/>
  <c r="D100" i="1"/>
  <c r="I17" i="29"/>
  <c r="D31" i="33"/>
  <c r="D42" i="29"/>
  <c r="E24" i="6"/>
  <c r="H26" i="6"/>
  <c r="G26" i="6"/>
  <c r="F26" i="6"/>
  <c r="H25" i="6"/>
  <c r="G25" i="6"/>
  <c r="F25" i="6"/>
  <c r="H24" i="6"/>
  <c r="H27" i="6" s="1"/>
  <c r="G24" i="6"/>
  <c r="G27" i="6" s="1"/>
  <c r="D8" i="6" s="1"/>
  <c r="C11" i="19" s="1"/>
  <c r="L11" i="19" s="1"/>
  <c r="F24" i="6"/>
  <c r="F27" i="6" s="1"/>
  <c r="E25" i="6"/>
  <c r="E26" i="6"/>
  <c r="J80" i="1"/>
  <c r="I80" i="1"/>
  <c r="H80" i="1"/>
  <c r="G80" i="1"/>
  <c r="F62" i="1"/>
  <c r="F80" i="1"/>
  <c r="H65" i="27"/>
  <c r="H43" i="27"/>
  <c r="G46" i="27"/>
  <c r="G47" i="27"/>
  <c r="F46" i="27"/>
  <c r="F47" i="27" s="1"/>
  <c r="E46" i="27"/>
  <c r="E47" i="27" s="1"/>
  <c r="E68" i="27"/>
  <c r="E69" i="27" s="1"/>
  <c r="H69" i="27" s="1"/>
  <c r="H70" i="27" s="1"/>
  <c r="E74" i="27" s="1"/>
  <c r="L59" i="27"/>
  <c r="L60" i="27"/>
  <c r="K59" i="27"/>
  <c r="K60" i="27"/>
  <c r="J59" i="27"/>
  <c r="J60" i="27" s="1"/>
  <c r="I59" i="27"/>
  <c r="I60" i="27"/>
  <c r="H59" i="27"/>
  <c r="H60" i="27"/>
  <c r="G59" i="27"/>
  <c r="G60" i="27"/>
  <c r="F59" i="27"/>
  <c r="F60" i="27"/>
  <c r="E59" i="27"/>
  <c r="E60" i="27"/>
  <c r="L37" i="27"/>
  <c r="L38" i="27" s="1"/>
  <c r="K37" i="27"/>
  <c r="K38" i="27" s="1"/>
  <c r="J37" i="27"/>
  <c r="J38" i="27" s="1"/>
  <c r="I37" i="27"/>
  <c r="I38" i="27" s="1"/>
  <c r="H37" i="27"/>
  <c r="H38" i="27" s="1"/>
  <c r="G37" i="27"/>
  <c r="G38" i="27" s="1"/>
  <c r="F37" i="27"/>
  <c r="F38" i="27" s="1"/>
  <c r="E37" i="27"/>
  <c r="E38" i="27" s="1"/>
  <c r="G68" i="27"/>
  <c r="G69" i="27"/>
  <c r="F68" i="27"/>
  <c r="F69" i="27"/>
  <c r="H67" i="27"/>
  <c r="H66" i="27"/>
  <c r="H45" i="27"/>
  <c r="H44" i="27"/>
  <c r="H17" i="26"/>
  <c r="G17" i="26"/>
  <c r="D7" i="26" s="1"/>
  <c r="F17" i="26"/>
  <c r="E17" i="26"/>
  <c r="C29" i="19"/>
  <c r="L29" i="19" s="1"/>
  <c r="H21" i="25"/>
  <c r="G21" i="25"/>
  <c r="D8" i="25" s="1"/>
  <c r="C28" i="19" s="1"/>
  <c r="L28" i="19" s="1"/>
  <c r="F21" i="25"/>
  <c r="H114" i="24"/>
  <c r="G114" i="24"/>
  <c r="F114" i="24"/>
  <c r="E114" i="24"/>
  <c r="E121" i="24" s="1"/>
  <c r="G121" i="24" s="1"/>
  <c r="H101" i="24"/>
  <c r="G101" i="24"/>
  <c r="F101" i="24"/>
  <c r="E101" i="24"/>
  <c r="I100" i="24"/>
  <c r="I101" i="24" s="1"/>
  <c r="I99" i="24"/>
  <c r="H94" i="24"/>
  <c r="G94" i="24"/>
  <c r="F94" i="24"/>
  <c r="E94" i="24"/>
  <c r="E120" i="24" s="1"/>
  <c r="G120" i="24" s="1"/>
  <c r="H83" i="24"/>
  <c r="G83" i="24"/>
  <c r="F83" i="24"/>
  <c r="E83" i="24"/>
  <c r="H76" i="24"/>
  <c r="G76" i="24"/>
  <c r="F76" i="24"/>
  <c r="E76" i="24"/>
  <c r="E119" i="24" s="1"/>
  <c r="G119" i="24" s="1"/>
  <c r="H62" i="24"/>
  <c r="G62" i="24"/>
  <c r="F62" i="24"/>
  <c r="E62" i="24"/>
  <c r="H55" i="24"/>
  <c r="G55" i="24"/>
  <c r="F55" i="24"/>
  <c r="E55" i="24"/>
  <c r="E118" i="24" s="1"/>
  <c r="G118" i="24" s="1"/>
  <c r="H41" i="24"/>
  <c r="G41" i="24"/>
  <c r="E41" i="24"/>
  <c r="F41" i="24"/>
  <c r="H24" i="24"/>
  <c r="G24" i="24"/>
  <c r="F24" i="24"/>
  <c r="E24" i="24"/>
  <c r="E117" i="24" s="1"/>
  <c r="G117" i="24" s="1"/>
  <c r="H49" i="23"/>
  <c r="G49" i="23"/>
  <c r="F49" i="23"/>
  <c r="E56" i="23"/>
  <c r="G56" i="23" s="1"/>
  <c r="H42" i="23"/>
  <c r="G42" i="23"/>
  <c r="F42" i="23"/>
  <c r="E42" i="23"/>
  <c r="E55" i="23" s="1"/>
  <c r="G55" i="23" s="1"/>
  <c r="H35" i="23"/>
  <c r="G35" i="23"/>
  <c r="F35" i="23"/>
  <c r="E35" i="23"/>
  <c r="E54" i="23" s="1"/>
  <c r="G54" i="23" s="1"/>
  <c r="H28" i="23"/>
  <c r="G28" i="23"/>
  <c r="F28" i="23"/>
  <c r="E28" i="23"/>
  <c r="E53" i="23" s="1"/>
  <c r="G53" i="23" s="1"/>
  <c r="H21" i="23"/>
  <c r="G21" i="23"/>
  <c r="F21" i="23"/>
  <c r="E21" i="23"/>
  <c r="E52" i="23" s="1"/>
  <c r="J30" i="22"/>
  <c r="E24" i="33" s="1"/>
  <c r="K42" i="21"/>
  <c r="J42" i="21"/>
  <c r="K41" i="21"/>
  <c r="J41" i="21"/>
  <c r="K40" i="21"/>
  <c r="J40" i="21"/>
  <c r="K39" i="21"/>
  <c r="J39" i="21"/>
  <c r="K38" i="21"/>
  <c r="J38" i="21"/>
  <c r="K37" i="21"/>
  <c r="J37" i="21"/>
  <c r="K36" i="21"/>
  <c r="G33" i="20"/>
  <c r="I29" i="17"/>
  <c r="I28" i="17"/>
  <c r="I27" i="17"/>
  <c r="I26" i="17"/>
  <c r="I25" i="17"/>
  <c r="I24" i="17"/>
  <c r="I23" i="17"/>
  <c r="J20" i="15"/>
  <c r="J21" i="15" s="1"/>
  <c r="J19" i="15"/>
  <c r="K19" i="15" s="1"/>
  <c r="J18" i="15"/>
  <c r="G20" i="15"/>
  <c r="G19" i="15"/>
  <c r="G18" i="15"/>
  <c r="G19" i="13"/>
  <c r="G18" i="13"/>
  <c r="G17" i="13"/>
  <c r="I22" i="4"/>
  <c r="I21" i="4"/>
  <c r="E62" i="1"/>
  <c r="E80" i="1"/>
  <c r="I51" i="6"/>
  <c r="H51" i="6"/>
  <c r="G51" i="6"/>
  <c r="F51" i="6"/>
  <c r="J37" i="9"/>
  <c r="I37" i="9"/>
  <c r="H37" i="9"/>
  <c r="G37" i="9"/>
  <c r="F37" i="9"/>
  <c r="G23" i="10"/>
  <c r="G22" i="10"/>
  <c r="G21" i="10"/>
  <c r="G20" i="10"/>
  <c r="G19" i="10"/>
  <c r="K40" i="13"/>
  <c r="J40" i="13"/>
  <c r="I40" i="13"/>
  <c r="K40" i="14"/>
  <c r="J40" i="14"/>
  <c r="I40" i="14"/>
  <c r="H40" i="14"/>
  <c r="K37" i="15"/>
  <c r="J37" i="15"/>
  <c r="H37" i="15"/>
  <c r="I37" i="15"/>
  <c r="F33" i="16"/>
  <c r="J33" i="16"/>
  <c r="I33" i="16"/>
  <c r="H33" i="16"/>
  <c r="G33" i="16"/>
  <c r="J33" i="20"/>
  <c r="I33" i="20"/>
  <c r="H33" i="20"/>
  <c r="K30" i="22"/>
  <c r="I30" i="22"/>
  <c r="I19" i="22"/>
  <c r="H30" i="22"/>
  <c r="I18" i="22"/>
  <c r="J30" i="29"/>
  <c r="I30" i="29"/>
  <c r="H30" i="29"/>
  <c r="I19" i="29"/>
  <c r="I18" i="29"/>
  <c r="I20" i="25"/>
  <c r="I19" i="25"/>
  <c r="I18" i="25"/>
  <c r="I113" i="24"/>
  <c r="I114" i="24" s="1"/>
  <c r="I112" i="24"/>
  <c r="I93" i="24"/>
  <c r="I92" i="24"/>
  <c r="I82" i="24"/>
  <c r="I83" i="24" s="1"/>
  <c r="I81" i="24"/>
  <c r="I75" i="24"/>
  <c r="I74" i="24"/>
  <c r="I61" i="24"/>
  <c r="I60" i="24"/>
  <c r="I54" i="24"/>
  <c r="I53" i="24"/>
  <c r="I23" i="24"/>
  <c r="I22" i="24"/>
  <c r="I24" i="24" s="1"/>
  <c r="I48" i="23"/>
  <c r="I47" i="23"/>
  <c r="I49" i="23" s="1"/>
  <c r="I41" i="23"/>
  <c r="I40" i="23"/>
  <c r="I34" i="23"/>
  <c r="I33" i="23"/>
  <c r="I35" i="23" s="1"/>
  <c r="I27" i="23"/>
  <c r="I26" i="23"/>
  <c r="I20" i="23"/>
  <c r="I19" i="23"/>
  <c r="I17" i="22"/>
  <c r="I18" i="21"/>
  <c r="I19" i="20"/>
  <c r="I21" i="18"/>
  <c r="I22" i="18" s="1"/>
  <c r="I20" i="18"/>
  <c r="I18" i="17"/>
  <c r="J19" i="11"/>
  <c r="I63" i="10"/>
  <c r="I40" i="10"/>
  <c r="I29" i="10"/>
  <c r="I22" i="2"/>
  <c r="I21" i="2"/>
  <c r="I21" i="23"/>
  <c r="G96" i="10"/>
  <c r="D15" i="33"/>
  <c r="E30" i="12" s="1"/>
  <c r="I62" i="24"/>
  <c r="E20" i="33"/>
  <c r="I30" i="17"/>
  <c r="D8" i="17"/>
  <c r="C21" i="19"/>
  <c r="L21" i="19" s="1"/>
  <c r="G24" i="10"/>
  <c r="G20" i="13"/>
  <c r="D8" i="13"/>
  <c r="C17" i="19"/>
  <c r="L17" i="19"/>
  <c r="E27" i="6"/>
  <c r="E79" i="27"/>
  <c r="I94" i="10"/>
  <c r="M45" i="12"/>
  <c r="M32" i="12"/>
  <c r="D8" i="12"/>
  <c r="C16" i="19" s="1"/>
  <c r="L16" i="19" s="1"/>
  <c r="AE21" i="34" l="1"/>
  <c r="I28" i="23"/>
  <c r="H97" i="1"/>
  <c r="E45" i="20"/>
  <c r="I55" i="24"/>
  <c r="H47" i="27"/>
  <c r="H48" i="27" s="1"/>
  <c r="E73" i="27" s="1"/>
  <c r="E75" i="27" s="1"/>
  <c r="E80" i="27" s="1"/>
  <c r="E29" i="33" s="1"/>
  <c r="F81" i="27" s="1"/>
  <c r="D8" i="27" s="1"/>
  <c r="C30" i="19" s="1"/>
  <c r="L30" i="19" s="1"/>
  <c r="E42" i="22"/>
  <c r="D8" i="22" s="1"/>
  <c r="C25" i="19" s="1"/>
  <c r="L25" i="19" s="1"/>
  <c r="E96" i="10"/>
  <c r="AD21" i="34"/>
  <c r="AH21" i="34" s="1"/>
  <c r="AH22" i="34"/>
  <c r="AD133" i="34"/>
  <c r="AH133" i="34" s="1"/>
  <c r="AH134" i="34"/>
  <c r="I21" i="25"/>
  <c r="I23" i="4"/>
  <c r="E30" i="28"/>
  <c r="D8" i="28" s="1"/>
  <c r="C31" i="19" s="1"/>
  <c r="L31" i="19" s="1"/>
  <c r="J20" i="11"/>
  <c r="I76" i="24"/>
  <c r="Q22" i="14"/>
  <c r="D8" i="14" s="1"/>
  <c r="C18" i="19" s="1"/>
  <c r="L18" i="19" s="1"/>
  <c r="AE167" i="34"/>
  <c r="AF8" i="34"/>
  <c r="I94" i="24"/>
  <c r="F24" i="33"/>
  <c r="G42" i="22" s="1"/>
  <c r="I42" i="23"/>
  <c r="AD8" i="34"/>
  <c r="AH9" i="34"/>
  <c r="AD165" i="34"/>
  <c r="K18" i="15"/>
  <c r="I20" i="20"/>
  <c r="K43" i="21"/>
  <c r="E57" i="23"/>
  <c r="G52" i="23"/>
  <c r="G57" i="23" s="1"/>
  <c r="D8" i="23" s="1"/>
  <c r="C26" i="19" s="1"/>
  <c r="L26" i="19" s="1"/>
  <c r="G122" i="24"/>
  <c r="D8" i="24" s="1"/>
  <c r="C27" i="19" s="1"/>
  <c r="L27" i="19" s="1"/>
  <c r="G42" i="29"/>
  <c r="F42" i="29"/>
  <c r="F42" i="22"/>
  <c r="C13" i="19"/>
  <c r="L13" i="19" s="1"/>
  <c r="I23" i="2"/>
  <c r="G98" i="1"/>
  <c r="I99" i="1"/>
  <c r="H99" i="1"/>
  <c r="H98" i="1"/>
  <c r="J99" i="1"/>
  <c r="J97" i="1"/>
  <c r="I98" i="1"/>
  <c r="J98" i="1"/>
  <c r="I97" i="1"/>
  <c r="G99" i="1"/>
  <c r="Z58" i="34"/>
  <c r="Z153" i="34"/>
  <c r="AF75" i="34"/>
  <c r="Z67" i="34"/>
  <c r="Z49" i="34"/>
  <c r="Z124" i="34"/>
  <c r="Z96" i="34"/>
  <c r="Z95" i="34" s="1"/>
  <c r="Z76" i="34"/>
  <c r="M22" i="34"/>
  <c r="K148" i="34"/>
  <c r="Z148" i="34"/>
  <c r="K141" i="34"/>
  <c r="Z141" i="34"/>
  <c r="K135" i="34"/>
  <c r="Z135" i="34"/>
  <c r="M127" i="34"/>
  <c r="Z128" i="34"/>
  <c r="Z127" i="34" s="1"/>
  <c r="M119" i="34"/>
  <c r="K120" i="34"/>
  <c r="Z120" i="34"/>
  <c r="Z116" i="34"/>
  <c r="Z112" i="34"/>
  <c r="K101" i="34"/>
  <c r="Z106" i="34"/>
  <c r="Z102" i="34"/>
  <c r="M95" i="34"/>
  <c r="Z83" i="34"/>
  <c r="M75" i="34"/>
  <c r="Z70" i="34"/>
  <c r="K67" i="34"/>
  <c r="K57" i="34" s="1"/>
  <c r="Z61" i="34"/>
  <c r="Z52" i="34"/>
  <c r="K49" i="34"/>
  <c r="K41" i="34"/>
  <c r="Z41" i="34"/>
  <c r="K34" i="34"/>
  <c r="Z34" i="34"/>
  <c r="Z31" i="34"/>
  <c r="K23" i="34"/>
  <c r="K16" i="34"/>
  <c r="Z16" i="34"/>
  <c r="K10" i="34"/>
  <c r="Z10" i="34"/>
  <c r="Z23" i="34"/>
  <c r="M9" i="34"/>
  <c r="M8" i="34" s="1"/>
  <c r="AE165" i="34"/>
  <c r="AF119" i="34"/>
  <c r="AF22" i="34"/>
  <c r="J43" i="21"/>
  <c r="F45" i="20"/>
  <c r="K20" i="15"/>
  <c r="K21" i="15" s="1"/>
  <c r="D8" i="15" s="1"/>
  <c r="C19" i="19" s="1"/>
  <c r="L19" i="19" s="1"/>
  <c r="G21" i="15"/>
  <c r="AF95" i="34"/>
  <c r="AO165" i="34"/>
  <c r="AF57" i="34"/>
  <c r="AQ95" i="34"/>
  <c r="AF134" i="34"/>
  <c r="AF127" i="34"/>
  <c r="AQ162" i="34"/>
  <c r="AQ22" i="34"/>
  <c r="AP134" i="34"/>
  <c r="AQ134" i="34" s="1"/>
  <c r="AP127" i="34"/>
  <c r="AQ127" i="34" s="1"/>
  <c r="AP119" i="34"/>
  <c r="AQ119" i="34" s="1"/>
  <c r="AF101" i="34"/>
  <c r="AP101" i="34"/>
  <c r="AQ101" i="34" s="1"/>
  <c r="AQ96" i="34"/>
  <c r="AP75" i="34"/>
  <c r="AQ75" i="34" s="1"/>
  <c r="AP57" i="34"/>
  <c r="AQ57" i="34" s="1"/>
  <c r="AQ61" i="34"/>
  <c r="AF9" i="34"/>
  <c r="AQ9" i="34"/>
  <c r="AF133" i="34" l="1"/>
  <c r="AH165" i="34"/>
  <c r="AI165" i="34"/>
  <c r="AD167" i="34"/>
  <c r="AH8" i="34"/>
  <c r="AF21" i="34"/>
  <c r="E5" i="33"/>
  <c r="G100" i="1" s="1"/>
  <c r="F5" i="33"/>
  <c r="H100" i="1" s="1"/>
  <c r="H5" i="33"/>
  <c r="J100" i="1" s="1"/>
  <c r="G5" i="33"/>
  <c r="I100" i="1" s="1"/>
  <c r="D8" i="1" s="1"/>
  <c r="C6" i="19" s="1"/>
  <c r="L6" i="19" s="1"/>
  <c r="Z119" i="34"/>
  <c r="Z75" i="34"/>
  <c r="M57" i="34"/>
  <c r="K134" i="34"/>
  <c r="K133" i="34" s="1"/>
  <c r="Z134" i="34"/>
  <c r="Z133" i="34" s="1"/>
  <c r="Z101" i="34"/>
  <c r="Z57" i="34"/>
  <c r="K22" i="34"/>
  <c r="K21" i="34" s="1"/>
  <c r="Z22" i="34"/>
  <c r="Z9" i="34"/>
  <c r="Z8" i="34" s="1"/>
  <c r="K9" i="34"/>
  <c r="AP165" i="34"/>
  <c r="AQ165" i="34" s="1"/>
  <c r="AF165" i="34"/>
  <c r="AH167" i="34" l="1"/>
  <c r="AI167" i="34"/>
  <c r="AF167" i="34"/>
  <c r="M165" i="34"/>
  <c r="M21" i="34"/>
  <c r="M167" i="34" s="1"/>
  <c r="Z21" i="34"/>
  <c r="Z167" i="34" s="1"/>
  <c r="K8" i="34"/>
  <c r="K167" i="34" s="1"/>
  <c r="K165" i="34"/>
  <c r="Z165" i="34"/>
</calcChain>
</file>

<file path=xl/comments1.xml><?xml version="1.0" encoding="utf-8"?>
<comments xmlns="http://schemas.openxmlformats.org/spreadsheetml/2006/main">
  <authors>
    <author>Usuario</author>
  </authors>
  <commentList>
    <comment ref="AH6" authorId="0" shapeId="0">
      <text>
        <r>
          <rPr>
            <b/>
            <sz val="9"/>
            <color indexed="81"/>
            <rFont val="Tahoma"/>
            <family val="2"/>
          </rPr>
          <t>Usuario:</t>
        </r>
        <r>
          <rPr>
            <sz val="9"/>
            <color indexed="81"/>
            <rFont val="Tahoma"/>
            <family val="2"/>
          </rPr>
          <t xml:space="preserve">
Se ajusta la fórmula  y por ende cambian todos los valores
</t>
        </r>
      </text>
    </comment>
    <comment ref="AJ22" authorId="0" shapeId="0">
      <text>
        <r>
          <rPr>
            <b/>
            <sz val="9"/>
            <color indexed="81"/>
            <rFont val="Tahoma"/>
            <family val="2"/>
          </rPr>
          <t>Usuario:</t>
        </r>
        <r>
          <rPr>
            <sz val="9"/>
            <color indexed="81"/>
            <rFont val="Tahoma"/>
            <family val="2"/>
          </rPr>
          <t xml:space="preserve">
Reporte 2020: $632.429.707, diferencias en proyectos 2.4 y 2.6</t>
        </r>
      </text>
    </comment>
    <comment ref="AL22" authorId="0" shapeId="0">
      <text>
        <r>
          <rPr>
            <b/>
            <sz val="9"/>
            <color indexed="81"/>
            <rFont val="Tahoma"/>
            <family val="2"/>
          </rPr>
          <t>Usuario:</t>
        </r>
        <r>
          <rPr>
            <sz val="9"/>
            <color indexed="81"/>
            <rFont val="Tahoma"/>
            <family val="2"/>
          </rPr>
          <t xml:space="preserve">
Reporte 2020: $632.429.707, diferencias en proyectos 2.4 y 2.6</t>
        </r>
      </text>
    </comment>
    <comment ref="AJ52" authorId="0" shapeId="0">
      <text>
        <r>
          <rPr>
            <b/>
            <sz val="9"/>
            <color indexed="81"/>
            <rFont val="Tahoma"/>
            <family val="2"/>
          </rPr>
          <t>Usuario:</t>
        </r>
        <r>
          <rPr>
            <sz val="9"/>
            <color indexed="81"/>
            <rFont val="Tahoma"/>
            <family val="2"/>
          </rPr>
          <t xml:space="preserve">
Reporte 2020: $223.881.450</t>
        </r>
      </text>
    </comment>
    <comment ref="AK52" authorId="0" shapeId="0">
      <text>
        <r>
          <rPr>
            <b/>
            <sz val="9"/>
            <color indexed="81"/>
            <rFont val="Tahoma"/>
            <family val="2"/>
          </rPr>
          <t>Usuario:</t>
        </r>
        <r>
          <rPr>
            <sz val="9"/>
            <color indexed="81"/>
            <rFont val="Tahoma"/>
            <family val="2"/>
          </rPr>
          <t xml:space="preserve">
Reporte 2020: $223.881.450</t>
        </r>
      </text>
    </comment>
    <comment ref="AJ61" authorId="0" shapeId="0">
      <text>
        <r>
          <rPr>
            <b/>
            <sz val="9"/>
            <color indexed="81"/>
            <rFont val="Tahoma"/>
            <family val="2"/>
          </rPr>
          <t>Usuario:</t>
        </r>
        <r>
          <rPr>
            <sz val="9"/>
            <color indexed="81"/>
            <rFont val="Tahoma"/>
            <family val="2"/>
          </rPr>
          <t xml:space="preserve">
Reporte 2020: $200.671.427</t>
        </r>
      </text>
    </comment>
    <comment ref="AJ67" authorId="0" shapeId="0">
      <text>
        <r>
          <rPr>
            <b/>
            <sz val="9"/>
            <color indexed="81"/>
            <rFont val="Tahoma"/>
            <family val="2"/>
          </rPr>
          <t>Usuario:</t>
        </r>
        <r>
          <rPr>
            <sz val="9"/>
            <color indexed="81"/>
            <rFont val="Tahoma"/>
            <family val="2"/>
          </rPr>
          <t xml:space="preserve">
No hay reporte de reserva para el año 2020</t>
        </r>
      </text>
    </comment>
    <comment ref="AJ83" authorId="0" shapeId="0">
      <text>
        <r>
          <rPr>
            <b/>
            <sz val="9"/>
            <color indexed="81"/>
            <rFont val="Tahoma"/>
            <family val="2"/>
          </rPr>
          <t>Usuario:</t>
        </r>
        <r>
          <rPr>
            <sz val="9"/>
            <color indexed="81"/>
            <rFont val="Tahoma"/>
            <family val="2"/>
          </rPr>
          <t xml:space="preserve">
Reporte 2020: 455.500.000</t>
        </r>
      </text>
    </comment>
    <comment ref="N146" authorId="0" shapeId="0">
      <text>
        <r>
          <rPr>
            <b/>
            <sz val="9"/>
            <color indexed="81"/>
            <rFont val="Tahoma"/>
            <family val="2"/>
          </rPr>
          <t>Usuario:</t>
        </r>
        <r>
          <rPr>
            <sz val="9"/>
            <color indexed="81"/>
            <rFont val="Tahoma"/>
            <family val="2"/>
          </rPr>
          <t xml:space="preserve">
Como se reporta IEDI 2021 si no se ha calculado?</t>
        </r>
      </text>
    </comment>
    <comment ref="AJ163" authorId="0" shapeId="0">
      <text>
        <r>
          <rPr>
            <b/>
            <sz val="9"/>
            <color indexed="81"/>
            <rFont val="Tahoma"/>
            <family val="2"/>
          </rPr>
          <t>Usuario:</t>
        </r>
        <r>
          <rPr>
            <sz val="9"/>
            <color indexed="81"/>
            <rFont val="Tahoma"/>
            <family val="2"/>
          </rPr>
          <t xml:space="preserve">
Reporte 2020: 87.677.126.405</t>
        </r>
      </text>
    </comment>
  </commentList>
</comments>
</file>

<file path=xl/comments2.xml><?xml version="1.0" encoding="utf-8"?>
<comments xmlns="http://schemas.openxmlformats.org/spreadsheetml/2006/main">
  <authors>
    <author>Usuario</author>
    <author>CORPORACION AUTONOMA REGIONAL DEL MAGDALENA</author>
    <author>Neyla Esther Martinez Orozco</author>
    <author>IVAN DARIO RAMIREZ B</author>
  </authors>
  <commentList>
    <comment ref="U5" authorId="0" shapeId="0">
      <text>
        <r>
          <rPr>
            <b/>
            <sz val="9"/>
            <color indexed="81"/>
            <rFont val="Tahoma"/>
            <family val="2"/>
          </rPr>
          <t>Usuario:</t>
        </r>
        <r>
          <rPr>
            <sz val="9"/>
            <color indexed="81"/>
            <rFont val="Tahoma"/>
            <family val="2"/>
          </rPr>
          <t xml:space="preserve">
Se reporta recuado acumulado al 30 de junio 2022</t>
        </r>
      </text>
    </comment>
    <comment ref="K12" authorId="0" shapeId="0">
      <text>
        <r>
          <rPr>
            <b/>
            <sz val="9"/>
            <color indexed="81"/>
            <rFont val="Tahoma"/>
            <family val="2"/>
          </rPr>
          <t>Usuario:</t>
        </r>
        <r>
          <rPr>
            <sz val="9"/>
            <color indexed="81"/>
            <rFont val="Tahoma"/>
            <family val="2"/>
          </rPr>
          <t xml:space="preserve">
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los que fuere aplicable al medio ambiente urbano.</t>
        </r>
      </text>
    </comment>
    <comment ref="K30" authorId="0" shapeId="0">
      <text>
        <r>
          <rPr>
            <b/>
            <sz val="9"/>
            <color indexed="81"/>
            <rFont val="Tahoma"/>
            <family val="2"/>
          </rPr>
          <t>Usuario:</t>
        </r>
        <r>
          <rPr>
            <sz val="9"/>
            <color indexed="81"/>
            <rFont val="Tahoma"/>
            <family val="2"/>
          </rPr>
          <t xml:space="preserve">
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energía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t>
        </r>
      </text>
    </comment>
    <comment ref="Q32" authorId="1" shapeId="0">
      <text>
        <r>
          <rPr>
            <b/>
            <sz val="9"/>
            <color indexed="81"/>
            <rFont val="Tahoma"/>
            <family val="2"/>
          </rPr>
          <t>CORPORACION AUTONOMA REGIONAL DEL MAGDALENA:</t>
        </r>
        <r>
          <rPr>
            <sz val="9"/>
            <color indexed="81"/>
            <rFont val="Tahoma"/>
            <family val="2"/>
          </rPr>
          <t xml:space="preserve">
ADICION EXCEDENTES 2021</t>
        </r>
      </text>
    </comment>
    <comment ref="K34" authorId="0" shapeId="0">
      <text>
        <r>
          <rPr>
            <b/>
            <sz val="9"/>
            <color indexed="81"/>
            <rFont val="Tahoma"/>
            <family val="2"/>
          </rPr>
          <t>Usuario:</t>
        </r>
        <r>
          <rPr>
            <sz val="9"/>
            <color indexed="81"/>
            <rFont val="Tahoma"/>
            <family val="2"/>
          </rPr>
          <t xml:space="preserve">
Son los recursos que provienen como contribución de las empresas que producen energía a partir de fuentes no convencionales a las que se refiere la Ley 1715 de 2014, cuyas plantas con potencia nominal instalada total supere los 10.000 kilovatios, deben  cancelar una transferencia equivalente al 1% de las ventas brutas de energía por generación propia de acuerdo con la tarifa que para ventas en bloque señale la Comisión de Regulación de Energía y Gas (CREG).</t>
        </r>
      </text>
    </comment>
    <comment ref="Q57" authorId="1" shapeId="0">
      <text>
        <r>
          <rPr>
            <b/>
            <sz val="9"/>
            <color indexed="81"/>
            <rFont val="Tahoma"/>
            <family val="2"/>
          </rPr>
          <t>CORPORACION AUTONOMA REGIONAL DEL MAGDALENA:</t>
        </r>
        <r>
          <rPr>
            <sz val="9"/>
            <color indexed="81"/>
            <rFont val="Tahoma"/>
            <family val="2"/>
          </rPr>
          <t xml:space="preserve">
$498.592.192 ADICION EXCEDENTES 2021</t>
        </r>
      </text>
    </comment>
    <comment ref="Q61" authorId="1" shapeId="0">
      <text>
        <r>
          <rPr>
            <b/>
            <sz val="9"/>
            <color indexed="81"/>
            <rFont val="Tahoma"/>
            <family val="2"/>
          </rPr>
          <t>CORPORACION AUTONOMA REGIONAL DEL MAGDALENA:</t>
        </r>
        <r>
          <rPr>
            <sz val="9"/>
            <color indexed="81"/>
            <rFont val="Tahoma"/>
            <family val="2"/>
          </rPr>
          <t xml:space="preserve">
ADICION EXCEDENTES 2021</t>
        </r>
      </text>
    </comment>
    <comment ref="K195" authorId="0" shapeId="0">
      <text>
        <r>
          <rPr>
            <b/>
            <sz val="9"/>
            <color indexed="81"/>
            <rFont val="Tahoma"/>
            <family val="2"/>
          </rPr>
          <t>Usuario:</t>
        </r>
        <r>
          <rPr>
            <sz val="9"/>
            <color indexed="81"/>
            <rFont val="Tahoma"/>
            <family val="2"/>
          </rPr>
          <t xml:space="preserve">
Son las transferencias de recursos del porcentaje del total del recaudo por concepto del impuesto predial que realizan los municipios a las corporaciones autónomas regionales presentes en su jurisdicción, en los términos que establece el artículo 44 de la Ley 99 de 1993 y el Decreto 1339 de 1994 que reglamenta la Ley.</t>
        </r>
      </text>
    </comment>
    <comment ref="L371" authorId="2" shapeId="0">
      <text>
        <r>
          <rPr>
            <b/>
            <sz val="9"/>
            <color indexed="81"/>
            <rFont val="Tahoma"/>
            <family val="2"/>
          </rPr>
          <t>Neyla Esther Martinez Orozco:</t>
        </r>
        <r>
          <rPr>
            <sz val="9"/>
            <color indexed="81"/>
            <rFont val="Tahoma"/>
            <family val="2"/>
          </rPr>
          <t xml:space="preserve">
SE TRASLADA EL VR. $44.606.000.000 DEL RUBRO OTRAS INSTUCIONES FINANCIERA A BANCA COMERCIAL.</t>
        </r>
      </text>
    </comment>
    <comment ref="K557" authorId="3" shapeId="0">
      <text>
        <r>
          <rPr>
            <b/>
            <sz val="9"/>
            <color indexed="81"/>
            <rFont val="Tahoma"/>
            <family val="2"/>
          </rPr>
          <t>IVAN DARIO RAMIREZ B:</t>
        </r>
        <r>
          <rPr>
            <sz val="9"/>
            <color indexed="81"/>
            <rFont val="Tahoma"/>
            <family val="2"/>
          </rPr>
          <t xml:space="preserve">
aprovecamiento de parques caso CAR</t>
        </r>
      </text>
    </comment>
    <comment ref="K569" authorId="3" shapeId="0">
      <text>
        <r>
          <rPr>
            <b/>
            <sz val="9"/>
            <color indexed="81"/>
            <rFont val="Tahoma"/>
            <family val="2"/>
          </rPr>
          <t>IVAN DARIO RAMIREZ B:</t>
        </r>
        <r>
          <rPr>
            <sz val="9"/>
            <color indexed="81"/>
            <rFont val="Tahoma"/>
            <family val="2"/>
          </rPr>
          <t>CAR CVC Arriendos</t>
        </r>
      </text>
    </comment>
    <comment ref="K860" authorId="3" shapeId="0">
      <text>
        <r>
          <rPr>
            <b/>
            <sz val="9"/>
            <color indexed="81"/>
            <rFont val="Tahoma"/>
            <family val="2"/>
          </rPr>
          <t>IVAN DARIO RAMIREZ B:</t>
        </r>
        <r>
          <rPr>
            <sz val="9"/>
            <color indexed="81"/>
            <rFont val="Tahoma"/>
            <family val="2"/>
          </rPr>
          <t xml:space="preserve">
A dónde se incluyen los convenios</t>
        </r>
      </text>
    </comment>
  </commentList>
</comments>
</file>

<file path=xl/comments3.xml><?xml version="1.0" encoding="utf-8"?>
<comments xmlns="http://schemas.openxmlformats.org/spreadsheetml/2006/main">
  <authors>
    <author>Usuario</author>
    <author>Neyla Esther Martinez Orozco</author>
  </authors>
  <commentList>
    <comment ref="H94" authorId="0" shapeId="0">
      <text>
        <r>
          <rPr>
            <b/>
            <sz val="9"/>
            <color indexed="81"/>
            <rFont val="Tahoma"/>
            <family val="2"/>
          </rPr>
          <t>Usuario:</t>
        </r>
        <r>
          <rPr>
            <sz val="9"/>
            <color indexed="81"/>
            <rFont val="Tahoma"/>
            <family val="2"/>
          </rPr>
          <t xml:space="preserve">
No los encontre en Anexo 1</t>
        </r>
      </text>
    </comment>
    <comment ref="I110" authorId="1" shapeId="0">
      <text>
        <r>
          <rPr>
            <b/>
            <sz val="9"/>
            <color indexed="81"/>
            <rFont val="Tahoma"/>
            <family val="2"/>
          </rPr>
          <t>Neyla Esther Martinez Orozco:</t>
        </r>
        <r>
          <rPr>
            <sz val="9"/>
            <color indexed="81"/>
            <rFont val="Tahoma"/>
            <family val="2"/>
          </rPr>
          <t xml:space="preserve">
INCLUYE LA VIGENCIA EXPIRADA</t>
        </r>
      </text>
    </comment>
    <comment ref="J110" authorId="1" shapeId="0">
      <text>
        <r>
          <rPr>
            <b/>
            <sz val="9"/>
            <color indexed="81"/>
            <rFont val="Tahoma"/>
            <family val="2"/>
          </rPr>
          <t>Neyla Esther Martinez Orozco:</t>
        </r>
        <r>
          <rPr>
            <sz val="9"/>
            <color indexed="81"/>
            <rFont val="Tahoma"/>
            <family val="2"/>
          </rPr>
          <t xml:space="preserve">
INCLUYE LA VIGENCIA EXPIRADA</t>
        </r>
      </text>
    </comment>
    <comment ref="K110" authorId="1" shapeId="0">
      <text>
        <r>
          <rPr>
            <b/>
            <sz val="9"/>
            <color indexed="81"/>
            <rFont val="Tahoma"/>
            <family val="2"/>
          </rPr>
          <t>Neyla Esther Martinez Orozco:</t>
        </r>
        <r>
          <rPr>
            <sz val="9"/>
            <color indexed="81"/>
            <rFont val="Tahoma"/>
            <family val="2"/>
          </rPr>
          <t xml:space="preserve">
INCLUYE LA VIGENCIA EXPIRADA</t>
        </r>
      </text>
    </comment>
    <comment ref="L110" authorId="1" shapeId="0">
      <text>
        <r>
          <rPr>
            <b/>
            <sz val="9"/>
            <color indexed="81"/>
            <rFont val="Tahoma"/>
            <family val="2"/>
          </rPr>
          <t>Neyla Esther Martinez Orozco:</t>
        </r>
        <r>
          <rPr>
            <sz val="9"/>
            <color indexed="81"/>
            <rFont val="Tahoma"/>
            <family val="2"/>
          </rPr>
          <t xml:space="preserve">
INCLUYE LA VIGENCIA EXPIRADA</t>
        </r>
      </text>
    </comment>
  </commentList>
</comments>
</file>

<file path=xl/comments4.xml><?xml version="1.0" encoding="utf-8"?>
<comments xmlns="http://schemas.openxmlformats.org/spreadsheetml/2006/main">
  <authors>
    <author>Usuario</author>
    <author>CORPORACION AUTONOMA REGIONAL DEL MAGDALENA</author>
  </authors>
  <commentList>
    <comment ref="W1" authorId="0" shapeId="0">
      <text>
        <r>
          <rPr>
            <b/>
            <sz val="9"/>
            <color indexed="81"/>
            <rFont val="Tahoma"/>
            <family val="2"/>
          </rPr>
          <t>Usuario:</t>
        </r>
        <r>
          <rPr>
            <sz val="9"/>
            <color indexed="81"/>
            <rFont val="Tahoma"/>
            <family val="2"/>
          </rPr>
          <t xml:space="preserve">
Tenian 'R.F. SOBRETASA / PARTICIPACION AMBIENTAL- CORPORACIONES AUTONOMAS REGIONALES, pero no me coincida con el valor apropiado y los otros rendimientos de sobretasa ya se habian separado</t>
        </r>
      </text>
    </comment>
    <comment ref="BG1" authorId="0" shapeId="0">
      <text>
        <r>
          <rPr>
            <b/>
            <sz val="9"/>
            <color indexed="81"/>
            <rFont val="Tahoma"/>
            <family val="2"/>
          </rPr>
          <t>Usuario:</t>
        </r>
        <r>
          <rPr>
            <sz val="9"/>
            <color indexed="81"/>
            <rFont val="Tahoma"/>
            <family val="2"/>
          </rPr>
          <t xml:space="preserve">
Tenia distribuido menos de lo apropiado</t>
        </r>
      </text>
    </comment>
    <comment ref="DG1" authorId="0" shapeId="0">
      <text>
        <r>
          <rPr>
            <b/>
            <sz val="9"/>
            <color indexed="81"/>
            <rFont val="Tahoma"/>
            <family val="2"/>
          </rPr>
          <t>Usuario:</t>
        </r>
        <r>
          <rPr>
            <sz val="9"/>
            <color indexed="81"/>
            <rFont val="Tahoma"/>
            <family val="2"/>
          </rPr>
          <t xml:space="preserve">
Con esta completo lo que tenia en sobretasa-participación</t>
        </r>
      </text>
    </comment>
    <comment ref="DK1" authorId="0" shapeId="0">
      <text>
        <r>
          <rPr>
            <b/>
            <sz val="9"/>
            <color indexed="81"/>
            <rFont val="Tahoma"/>
            <family val="2"/>
          </rPr>
          <t>Usuario:</t>
        </r>
        <r>
          <rPr>
            <sz val="9"/>
            <color indexed="81"/>
            <rFont val="Tahoma"/>
            <family val="2"/>
          </rPr>
          <t xml:space="preserve">
Con esta completo lo que tenia en sobretasa-participación</t>
        </r>
      </text>
    </comment>
    <comment ref="DO1" authorId="0" shapeId="0">
      <text>
        <r>
          <rPr>
            <b/>
            <sz val="9"/>
            <color indexed="81"/>
            <rFont val="Tahoma"/>
            <family val="2"/>
          </rPr>
          <t>Usuario:</t>
        </r>
        <r>
          <rPr>
            <sz val="9"/>
            <color indexed="81"/>
            <rFont val="Tahoma"/>
            <family val="2"/>
          </rPr>
          <t xml:space="preserve">
Con esta completo lo que tenia en sobretasa-participación y lo que sobra lo asigne a lo que tenia en OTRAS TRANSFERENCIAS CORRIENTES DE OTRAS ENTIDADES CON DESTINACION ESPECIFICA LEGAL DEL GOBIERNO GENERAL</t>
        </r>
      </text>
    </comment>
    <comment ref="B50" authorId="1" shapeId="0">
      <text>
        <r>
          <rPr>
            <b/>
            <sz val="9"/>
            <color indexed="81"/>
            <rFont val="Tahoma"/>
            <family val="2"/>
          </rPr>
          <t>CORPORACION AUTONOMA REGIONAL DEL MAGDALENA:</t>
        </r>
        <r>
          <rPr>
            <sz val="9"/>
            <color indexed="81"/>
            <rFont val="Tahoma"/>
            <family val="2"/>
          </rPr>
          <t xml:space="preserve">
HAY DIFERENCIA CON LA UTIMA ACTIVIDAD
</t>
        </r>
      </text>
    </comment>
    <comment ref="A96" authorId="0" shapeId="0">
      <text>
        <r>
          <rPr>
            <b/>
            <sz val="9"/>
            <color indexed="81"/>
            <rFont val="Tahoma"/>
            <family val="2"/>
          </rPr>
          <t>Usuario:</t>
        </r>
        <r>
          <rPr>
            <sz val="9"/>
            <color indexed="81"/>
            <rFont val="Tahoma"/>
            <family val="2"/>
          </rPr>
          <t xml:space="preserve">
Tener en cuenta anotaciones que se dejaron en matriz homologación 2021</t>
        </r>
      </text>
    </comment>
    <comment ref="A98" authorId="0" shapeId="0">
      <text>
        <r>
          <rPr>
            <b/>
            <sz val="9"/>
            <color indexed="81"/>
            <rFont val="Tahoma"/>
            <family val="2"/>
          </rPr>
          <t>Usuario:</t>
        </r>
        <r>
          <rPr>
            <sz val="9"/>
            <color indexed="81"/>
            <rFont val="Tahoma"/>
            <family val="2"/>
          </rPr>
          <t xml:space="preserve">
Tener en cuenta anotaciones que se dejaron en matriz homologación 2021</t>
        </r>
      </text>
    </comment>
  </commentList>
</comments>
</file>

<file path=xl/sharedStrings.xml><?xml version="1.0" encoding="utf-8"?>
<sst xmlns="http://schemas.openxmlformats.org/spreadsheetml/2006/main" count="9116" uniqueCount="2592">
  <si>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</si>
  <si>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</si>
  <si>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</si>
  <si>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</si>
  <si>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</si>
  <si>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</si>
  <si>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Datos generales de los POMCAS:</t>
  </si>
  <si>
    <t>Cuencas, acuíferos y microcuencas objeto de planes en la jurisdicción de la CAR</t>
  </si>
  <si>
    <t>Tipo de Plan (a)</t>
  </si>
  <si>
    <t>Código (b)</t>
  </si>
  <si>
    <t>Nombre de Cuenca, Microcuenca, Acuífero</t>
  </si>
  <si>
    <t>POMCA</t>
  </si>
  <si>
    <t>PMA</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</si>
  <si>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</si>
  <si>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</si>
  <si>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</si>
  <si>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</si>
  <si>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</si>
  <si>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</si>
  <si>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</si>
  <si>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</si>
  <si>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</si>
  <si>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</si>
  <si>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</si>
  <si>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</si>
  <si>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</si>
  <si>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</si>
  <si>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</si>
  <si>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</si>
  <si>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</si>
  <si>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</si>
  <si>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</si>
  <si>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</si>
  <si>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</si>
  <si>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</si>
  <si>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</si>
  <si>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</si>
  <si>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</si>
  <si>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</si>
  <si>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</si>
  <si>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Dependencia</t>
  </si>
  <si>
    <t>Nombre del funcionario</t>
  </si>
  <si>
    <t>Cargo</t>
  </si>
  <si>
    <t>Correo electrónico</t>
  </si>
  <si>
    <t>Teléfono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</si>
  <si>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</si>
  <si>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</si>
  <si>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</si>
  <si>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</si>
  <si>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</si>
  <si>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</si>
  <si>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</si>
  <si>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</si>
  <si>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</si>
  <si>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</si>
  <si>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Observaciones</t>
  </si>
  <si>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</si>
  <si>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</si>
  <si>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</si>
  <si>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</si>
  <si>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</si>
  <si>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</si>
  <si>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</si>
  <si>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</si>
  <si>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</si>
  <si>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</si>
  <si>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</si>
  <si>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</si>
  <si>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</si>
  <si>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</si>
  <si>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</si>
  <si>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</si>
  <si>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</si>
  <si>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</si>
  <si>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</si>
  <si>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</si>
  <si>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</si>
  <si>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</si>
  <si>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</si>
  <si>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</si>
  <si>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</si>
  <si>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</si>
  <si>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</si>
  <si>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</si>
  <si>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</si>
  <si>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</si>
  <si>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</si>
  <si>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</si>
  <si>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</si>
  <si>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</si>
  <si>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</si>
  <si>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</si>
  <si>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</si>
  <si>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</si>
  <si>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</si>
  <si>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</si>
  <si>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</si>
  <si>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</si>
  <si>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</si>
  <si>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</si>
  <si>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</si>
  <si>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</si>
  <si>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</si>
  <si>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</si>
  <si>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</si>
  <si>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</si>
  <si>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</si>
  <si>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</si>
  <si>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</si>
  <si>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</si>
  <si>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</si>
  <si>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</si>
  <si>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</si>
  <si>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</si>
  <si>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</si>
  <si>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</si>
  <si>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</si>
  <si>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</si>
  <si>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</si>
  <si>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</si>
  <si>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</si>
  <si>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</si>
  <si>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</si>
  <si>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</si>
  <si>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</si>
  <si>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</si>
  <si>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</si>
  <si>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</si>
  <si>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Datos reportados por la Corporación</t>
  </si>
  <si>
    <t>Datos establecidos por el MADS</t>
  </si>
  <si>
    <t>Datos calculados por el sistema</t>
  </si>
  <si>
    <t>Porcentaje de cuerpos de agua con planes de ordenamiento del recurso hídrico (PORH) adoptados</t>
  </si>
  <si>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</si>
  <si>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</si>
  <si>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</si>
  <si>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</si>
  <si>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</si>
  <si>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</si>
  <si>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</si>
  <si>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</si>
  <si>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</si>
  <si>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</si>
  <si>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</si>
  <si>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</si>
  <si>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</si>
  <si>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</si>
  <si>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</si>
  <si>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</si>
  <si>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cuerpos de agua sujeto de reglamentación de planes de ordenamiento del recurso hídrico (PORH):</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</si>
  <si>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</si>
  <si>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</si>
  <si>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</si>
  <si>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</si>
  <si>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</si>
  <si>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</si>
  <si>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</si>
  <si>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</si>
  <si>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</si>
  <si>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</si>
  <si>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</si>
  <si>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</si>
  <si>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</si>
  <si>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Porcentaje de Planes de Saneamiento y Manejo de Vertimientos (PSMV) con seguimiento</t>
  </si>
  <si>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</si>
  <si>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</si>
  <si>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</si>
  <si>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</si>
  <si>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</si>
  <si>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</si>
  <si>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</si>
  <si>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</si>
  <si>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</si>
  <si>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</si>
  <si>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</si>
  <si>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</si>
  <si>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</si>
  <si>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</si>
  <si>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</si>
  <si>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</si>
  <si>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</si>
  <si>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</si>
  <si>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</si>
  <si>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</si>
  <si>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Porcentaje de cuerpos de agua con reglamentación del uso de las aguas</t>
  </si>
  <si>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</si>
  <si>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</si>
  <si>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</si>
  <si>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</si>
  <si>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</si>
  <si>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</si>
  <si>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</si>
  <si>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</si>
  <si>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</si>
  <si>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cuerpos de agua sujeto de reglamentación del uso de las aguas:</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</si>
  <si>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</si>
  <si>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</si>
  <si>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</si>
  <si>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</si>
  <si>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</si>
  <si>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</si>
  <si>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Porcentaje de Programas de Uso Eficiente y Ahorro del Agua (PUEAA) con seguimiento</t>
  </si>
  <si>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</si>
  <si>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</si>
  <si>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</si>
  <si>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</si>
  <si>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</si>
  <si>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</si>
  <si>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</si>
  <si>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</si>
  <si>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</si>
  <si>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</si>
  <si>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</si>
  <si>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</si>
  <si>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</si>
  <si>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</si>
  <si>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</si>
  <si>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</si>
  <si>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</si>
  <si>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</si>
  <si>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</si>
  <si>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Porcentaje de Planes de Ordenación y Manejo de Cuencas (POMCAS), Planes de Manejo de Acuíferos (PMA) y Planes de Manejo de Microcuencas (PMM) en ejecución</t>
  </si>
  <si>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</si>
  <si>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</si>
  <si>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</si>
  <si>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</si>
  <si>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</si>
  <si>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</si>
  <si>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</si>
  <si>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</si>
  <si>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</si>
  <si>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</si>
  <si>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</si>
  <si>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</si>
  <si>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</si>
  <si>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</si>
  <si>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</si>
  <si>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</si>
  <si>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</si>
  <si>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</si>
  <si>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</si>
  <si>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</si>
  <si>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</si>
  <si>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</si>
  <si>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</si>
  <si>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</si>
  <si>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</si>
  <si>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Indicador complementario:</t>
  </si>
  <si>
    <t>Ejecución presupuestal de acciones relacionadas con la implementación de los POMCAS, PMA y PMM</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</si>
  <si>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</si>
  <si>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</si>
  <si>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</si>
  <si>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</si>
  <si>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Reporte de ejecución de POMCAS, PMA y PMM</t>
  </si>
  <si>
    <t>Número / Año</t>
  </si>
  <si>
    <t>Acumulado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</si>
  <si>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</si>
  <si>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</si>
  <si>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</si>
  <si>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</si>
  <si>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</si>
  <si>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</si>
  <si>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</si>
  <si>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</si>
  <si>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</si>
  <si>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</si>
  <si>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</si>
  <si>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</si>
  <si>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</si>
  <si>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</si>
  <si>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</si>
  <si>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</si>
  <si>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</si>
  <si>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</si>
  <si>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</si>
  <si>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</si>
  <si>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</si>
  <si>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</si>
  <si>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</si>
  <si>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</si>
  <si>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</si>
  <si>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Porcentaje de entes territoriales asesorados en la incorporación, planificación y ejecución de acciones relacionadas con cambio climático en el marco de los instrumentos de planificación territorial</t>
  </si>
  <si>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</si>
  <si>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</si>
  <si>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</si>
  <si>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</si>
  <si>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</si>
  <si>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</si>
  <si>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</si>
  <si>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</si>
  <si>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</si>
  <si>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</si>
  <si>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</si>
  <si>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</si>
  <si>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</si>
  <si>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</si>
  <si>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</si>
  <si>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</si>
  <si>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</si>
  <si>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</si>
  <si>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</si>
  <si>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</si>
  <si>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</si>
  <si>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</si>
  <si>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</si>
  <si>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</si>
  <si>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</si>
  <si>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</si>
  <si>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</si>
  <si>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</si>
  <si>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</si>
  <si>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</si>
  <si>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</si>
  <si>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</si>
  <si>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 xml:space="preserve">Número de entes territoriales </t>
  </si>
  <si>
    <t>Porcentaje de suelos degradados en recuperación o rehabilitación</t>
  </si>
  <si>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</si>
  <si>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</si>
  <si>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</si>
  <si>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</si>
  <si>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</si>
  <si>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</si>
  <si>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</si>
  <si>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</si>
  <si>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</si>
  <si>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</si>
  <si>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</si>
  <si>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</si>
  <si>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</si>
  <si>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</si>
  <si>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</si>
  <si>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</si>
  <si>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</si>
  <si>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</si>
  <si>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t>Inversión asociada a recuperación o rehabilitación de suelos degradados (Millones de $)</t>
  </si>
  <si>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</si>
  <si>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</si>
  <si>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t>Para su cálculo, se reporta la siguiente información:</t>
  </si>
  <si>
    <t>Meta de suelos degradados en recuperación o rehabilitación (ha)</t>
  </si>
  <si>
    <t>Áreas de suelos degradados en recuperación o rehabilitación (ha)</t>
  </si>
  <si>
    <t>Porcentaje de suelos degradados en recuperación o rehabilitación (C = B / A)</t>
  </si>
  <si>
    <t>(*) Adicione tantas filas cuantas sean necesarias.</t>
  </si>
  <si>
    <t xml:space="preserve">Tipo de acción </t>
  </si>
  <si>
    <t>Área de intervención (ha)</t>
  </si>
  <si>
    <t>Ppto. inicial</t>
  </si>
  <si>
    <t>Presupuesto Definitivo</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</si>
  <si>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</si>
  <si>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</si>
  <si>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</si>
  <si>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Porcentaje de la superficie de áreas protegidas regionales declaradas, homologadas o recategorizadas, inscritas en el RUNAP</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</si>
  <si>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</si>
  <si>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</si>
  <si>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</si>
  <si>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</si>
  <si>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</si>
  <si>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</si>
  <si>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</si>
  <si>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</si>
  <si>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</si>
  <si>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</si>
  <si>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</si>
  <si>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</si>
  <si>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</si>
  <si>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</si>
  <si>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</si>
  <si>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Continentales</t>
  </si>
  <si>
    <t>Meta de áreas protegidas regionales a ser homologadas o recategorizadas, e inscritas en el RUNAP en el cuatrienio (ha)</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</si>
  <si>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</si>
  <si>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</si>
  <si>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</si>
  <si>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</si>
  <si>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</si>
  <si>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</si>
  <si>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</si>
  <si>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</si>
  <si>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</si>
  <si>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</si>
  <si>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</si>
  <si>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</si>
  <si>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</si>
  <si>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</si>
  <si>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</si>
  <si>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</si>
  <si>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</si>
  <si>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</si>
  <si>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</si>
  <si>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</si>
  <si>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</si>
  <si>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</si>
  <si>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</si>
  <si>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</si>
  <si>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</si>
  <si>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</si>
  <si>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</si>
  <si>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</si>
  <si>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</si>
  <si>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</si>
  <si>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Porcentaje de páramos delimitados por el MADS, con zonificación y régimen de usos adoptados por la CAR</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</si>
  <si>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</si>
  <si>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</si>
  <si>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</si>
  <si>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</si>
  <si>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</si>
  <si>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</si>
  <si>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</si>
  <si>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</si>
  <si>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</si>
  <si>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</si>
  <si>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</si>
  <si>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</si>
  <si>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</si>
  <si>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</si>
  <si>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Reporte de avance</t>
  </si>
  <si>
    <t>Etapa</t>
  </si>
  <si>
    <t>Páramos delimitados por el MADS (número) ubicados en la jurisdicción de la Corporación</t>
  </si>
  <si>
    <t>Actos Administrativos de la CAR que adoptan la Zonificación y régimen de usos de páramos (número)</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</si>
  <si>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</si>
  <si>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</si>
  <si>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</si>
  <si>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Porcentaje de avance en la formulación del Plan de Ordenación Forestal</t>
  </si>
  <si>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</si>
  <si>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</si>
  <si>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</si>
  <si>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</si>
  <si>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</si>
  <si>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</si>
  <si>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</si>
  <si>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</si>
  <si>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</si>
  <si>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</si>
  <si>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</si>
  <si>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Meta de nuevas hectáreas forestales a ser ordenadas en el Plan de Ordenación Forestal en el cuatrienio (ha)</t>
  </si>
  <si>
    <t>Meta de hectáreas forestales a ser actualizadas en el Plan de Ordenación Forestal en el cuatrienio (ha) -si aplica-</t>
  </si>
  <si>
    <t>Meta: hectáreas forestales sujeto de ordenación en el cuatrienio (ha) (B+C)</t>
  </si>
  <si>
    <t>Superficie a ser ordenada en el Plan de Ordenación Forestal (*)</t>
  </si>
  <si>
    <t>Meta: hectáreas forestales sujeto de ordenación (a)</t>
  </si>
  <si>
    <t>En formulación</t>
  </si>
  <si>
    <t>En actualización</t>
  </si>
  <si>
    <t>Plan forestal adoptado</t>
  </si>
  <si>
    <t>(*) Ubique cada superficie sólo en la última etapa que se encuentre</t>
  </si>
  <si>
    <t>La suma de la superficie de las áreas en proceso de ordenación debe ser igual a la meta de hectáreas forestales a ser ordenadas.</t>
  </si>
  <si>
    <t>Relación de áreas a ser ordenadas en el Plan de Ordenación Forestal</t>
  </si>
  <si>
    <t>Nombre del área a ser ordenada</t>
  </si>
  <si>
    <t>Municipios donde se ubica</t>
  </si>
  <si>
    <t>Superficie (ha)</t>
  </si>
  <si>
    <t>Estado de avance (a)</t>
  </si>
  <si>
    <t>Acto administrativo de adopción</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</si>
  <si>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</si>
  <si>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</si>
  <si>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</si>
  <si>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Porcentaje de áreas protegidas con planes de manejo en ejecución</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</si>
  <si>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</si>
  <si>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</si>
  <si>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</si>
  <si>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</si>
  <si>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</si>
  <si>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</si>
  <si>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</si>
  <si>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</si>
  <si>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</si>
  <si>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</si>
  <si>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</si>
  <si>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</si>
  <si>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</si>
  <si>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</si>
  <si>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</si>
  <si>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</si>
  <si>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</si>
  <si>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</si>
  <si>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</si>
  <si>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</si>
  <si>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</si>
  <si>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</si>
  <si>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</si>
  <si>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</si>
  <si>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Inicial</t>
  </si>
  <si>
    <t>Presupuesto</t>
  </si>
  <si>
    <t>Definitivo</t>
  </si>
  <si>
    <t>Cuanto más cercano a cien por ciento, mayores son las acciones que la autoridad ambiental realiza para la ejecución de los planes de manejo de las áreas protegidas que están a cargo de la Corporación Autónoma Regional.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</si>
  <si>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</si>
  <si>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</si>
  <si>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Porcentaje de especies amenazadas con medidas de conservación y manejo en ejecución</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</si>
  <si>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</si>
  <si>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</si>
  <si>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</si>
  <si>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</si>
  <si>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</si>
  <si>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</si>
  <si>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</si>
  <si>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</si>
  <si>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</si>
  <si>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</si>
  <si>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</si>
  <si>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</si>
  <si>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</si>
  <si>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</si>
  <si>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</si>
  <si>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</si>
  <si>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</si>
  <si>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</si>
  <si>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</si>
  <si>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</si>
  <si>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</si>
  <si>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</si>
  <si>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</si>
  <si>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</si>
  <si>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</si>
  <si>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</si>
  <si>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</si>
  <si>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</si>
  <si>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</si>
  <si>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</si>
  <si>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</si>
  <si>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</si>
  <si>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</si>
  <si>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</si>
  <si>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</si>
  <si>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</si>
  <si>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</si>
  <si>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</si>
  <si>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</si>
  <si>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</si>
  <si>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</si>
  <si>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</si>
  <si>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</si>
  <si>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</si>
  <si>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</si>
  <si>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Porcentaje de especies invasoras con medidas de prevención, control y manejo en ejecución</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</si>
  <si>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</si>
  <si>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</si>
  <si>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</si>
  <si>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</si>
  <si>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</si>
  <si>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</si>
  <si>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</si>
  <si>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</si>
  <si>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</si>
  <si>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</si>
  <si>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</si>
  <si>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</si>
  <si>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</si>
  <si>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</si>
  <si>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</si>
  <si>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</si>
  <si>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</si>
  <si>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</si>
  <si>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</si>
  <si>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</si>
  <si>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</si>
  <si>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</si>
  <si>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</si>
  <si>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</si>
  <si>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</si>
  <si>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</si>
  <si>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</si>
  <si>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</si>
  <si>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</si>
  <si>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La formulación de las medidas de prevención, control y manejo estarán a cargo del MADS y/o las CARs.</t>
  </si>
  <si>
    <t>Porcentaje de áreas de ecosistemas en restauración, rehabilitación y reforestación</t>
  </si>
  <si>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</si>
  <si>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</si>
  <si>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</si>
  <si>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</si>
  <si>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</si>
  <si>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</si>
  <si>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</si>
  <si>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</si>
  <si>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</si>
  <si>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</si>
  <si>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</si>
  <si>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</si>
  <si>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</si>
  <si>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</si>
  <si>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</si>
  <si>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</si>
  <si>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</si>
  <si>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</si>
  <si>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</si>
  <si>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</si>
  <si>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</si>
  <si>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</si>
  <si>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</si>
  <si>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</si>
  <si>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</si>
  <si>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</si>
  <si>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</si>
  <si>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Implementación de acciones en manejo integrado de zonas costeras</t>
  </si>
  <si>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</si>
  <si>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</si>
  <si>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</si>
  <si>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</si>
  <si>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</si>
  <si>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</si>
  <si>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</si>
  <si>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</si>
  <si>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</si>
  <si>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</si>
  <si>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</si>
  <si>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</si>
  <si>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</si>
  <si>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</si>
  <si>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</si>
  <si>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</si>
  <si>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</si>
  <si>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</si>
  <si>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</si>
  <si>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</si>
  <si>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</si>
  <si>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</si>
  <si>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</si>
  <si>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</si>
  <si>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</si>
  <si>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</si>
  <si>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</si>
  <si>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</si>
  <si>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</si>
  <si>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</si>
  <si>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t>Porcentaje de ejecución de acciones relacionadas con el manejo integrado de zonas costeras.</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</si>
  <si>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</si>
  <si>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</si>
  <si>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</si>
  <si>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</si>
  <si>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</si>
  <si>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</si>
  <si>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</si>
  <si>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</si>
  <si>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Planificación y ordenamiento de UAC</t>
  </si>
  <si>
    <t>Gestión ambiental en las zonas costeras</t>
  </si>
  <si>
    <t>Articulación junto con los entes territoriales en el manejo integrado de zonas costeras</t>
  </si>
  <si>
    <t>Educación y participación en MIZC</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</si>
  <si>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</si>
  <si>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</si>
  <si>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</si>
  <si>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</si>
  <si>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</si>
  <si>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Porcentaje de Planes de Gestión Integral de Residuos Sólidos (PGIRS) con seguimiento a metas de aprovechamiento</t>
  </si>
  <si>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</si>
  <si>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</si>
  <si>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</si>
  <si>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</si>
  <si>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</si>
  <si>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</si>
  <si>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</si>
  <si>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</si>
  <si>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</si>
  <si>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</si>
  <si>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</si>
  <si>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</si>
  <si>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</si>
  <si>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</si>
  <si>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</si>
  <si>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</si>
  <si>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</si>
  <si>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</si>
  <si>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</si>
  <si>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</si>
  <si>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Porcentaje de sectores con acompañamiento para la reconversión hacia sistemas sostenibles de producción</t>
  </si>
  <si>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</si>
  <si>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</si>
  <si>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</si>
  <si>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</si>
  <si>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</si>
  <si>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</si>
  <si>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</si>
  <si>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</si>
  <si>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</si>
  <si>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</si>
  <si>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</si>
  <si>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</si>
  <si>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</si>
  <si>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</si>
  <si>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</si>
  <si>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</si>
  <si>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</si>
  <si>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</si>
  <si>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</si>
  <si>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</si>
  <si>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</si>
  <si>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</si>
  <si>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</si>
  <si>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</si>
  <si>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</si>
  <si>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</si>
  <si>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</si>
  <si>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</si>
  <si>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</si>
  <si>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</si>
  <si>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t>Ejecución presupuestal de acciones relacionadas con el acompañamiento para la reconversión hacia sistemas sostenibles de producción</t>
  </si>
  <si>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</si>
  <si>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</si>
  <si>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</si>
  <si>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t>Número de sectores priorizados para acompañamiento en la reconversión hacia sistemas sostenibles de producción (SPA)</t>
  </si>
  <si>
    <t>Indicador Complementario:</t>
  </si>
  <si>
    <t>Sector(es)</t>
  </si>
  <si>
    <t>Ejecución Presupuestal (%)</t>
  </si>
  <si>
    <t>inicial</t>
  </si>
  <si>
    <t>Ppto. Definitivo</t>
  </si>
  <si>
    <t>Eventos de capacitación</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</si>
  <si>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</si>
  <si>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</si>
  <si>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</si>
  <si>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</si>
  <si>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</si>
  <si>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</si>
  <si>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</si>
  <si>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Porcentaje de ejecución de acciones en Gestión Ambiental Urbana</t>
  </si>
  <si>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</si>
  <si>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</si>
  <si>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</si>
  <si>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</si>
  <si>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</si>
  <si>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</si>
  <si>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</si>
  <si>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</si>
  <si>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</si>
  <si>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</si>
  <si>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</si>
  <si>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</si>
  <si>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</si>
  <si>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</si>
  <si>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</si>
  <si>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</si>
  <si>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</si>
  <si>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</si>
  <si>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</si>
  <si>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</si>
  <si>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</si>
  <si>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</si>
  <si>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</si>
  <si>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</si>
  <si>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</si>
  <si>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</si>
  <si>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</si>
  <si>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</si>
  <si>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</si>
  <si>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</si>
  <si>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</si>
  <si>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</si>
  <si>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</si>
  <si>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</si>
  <si>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</si>
  <si>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</si>
  <si>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</si>
  <si>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</si>
  <si>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</si>
  <si>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</si>
  <si>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</si>
  <si>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</si>
  <si>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</si>
  <si>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</si>
  <si>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</si>
  <si>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</si>
  <si>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</si>
  <si>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</si>
  <si>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t>Porcentaje de ejecución de acciones relacionadas con la gestión ambiental urbana.</t>
  </si>
  <si>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</si>
  <si>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</si>
  <si>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</si>
  <si>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</si>
  <si>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</si>
  <si>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</si>
  <si>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</si>
  <si>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</si>
  <si>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</si>
  <si>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</si>
  <si>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</si>
  <si>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</si>
  <si>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Número de acciones relacionadas con gestión ambiental urbana</t>
  </si>
  <si>
    <t>Ejecución física de las acciones relacionadas con la gestión ambiental urbana</t>
  </si>
  <si>
    <t>Planificación y ordenamiento ambiental en áreas urbanas</t>
  </si>
  <si>
    <t>Gestión ambiental del Espacio Público en áreas urbanas</t>
  </si>
  <si>
    <t xml:space="preserve">Prevención y Control de la Contaminación del Aire en áreas urbanas </t>
  </si>
  <si>
    <t>Gestión de Residuos sólidos en áreas urbanas</t>
  </si>
  <si>
    <t>Índice de calidad ambiental urbana</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</si>
  <si>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</si>
  <si>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</si>
  <si>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</si>
  <si>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</si>
  <si>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</si>
  <si>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</si>
  <si>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Implementación del Programa Regional de Negocios Verdes por la autoridad ambiental</t>
  </si>
  <si>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</si>
  <si>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</si>
  <si>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</si>
  <si>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</si>
  <si>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</si>
  <si>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</si>
  <si>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</si>
  <si>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</si>
  <si>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</si>
  <si>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</si>
  <si>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</si>
  <si>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</si>
  <si>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</si>
  <si>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</si>
  <si>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</si>
  <si>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</si>
  <si>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</si>
  <si>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</si>
  <si>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</si>
  <si>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</si>
  <si>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</si>
  <si>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</si>
  <si>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</si>
  <si>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</si>
  <si>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</si>
  <si>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</si>
  <si>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</si>
  <si>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</si>
  <si>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</si>
  <si>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</si>
  <si>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</si>
  <si>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</si>
  <si>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</si>
  <si>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</si>
  <si>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</si>
  <si>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</si>
  <si>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</si>
  <si>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</si>
  <si>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</si>
  <si>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</si>
  <si>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</si>
  <si>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</si>
  <si>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</si>
  <si>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</si>
  <si>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</si>
  <si>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</si>
  <si>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</si>
  <si>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</si>
  <si>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</si>
  <si>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</si>
  <si>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</si>
  <si>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</si>
  <si>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</si>
  <si>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</si>
  <si>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</si>
  <si>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</si>
  <si>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</si>
  <si>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</si>
  <si>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</si>
  <si>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Tiempo promedio de trámite para la resolución de autorizaciones ambientales otorgadas por la corporación</t>
  </si>
  <si>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</si>
  <si>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</si>
  <si>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</si>
  <si>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</si>
  <si>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</si>
  <si>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</si>
  <si>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</si>
  <si>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</si>
  <si>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</si>
  <si>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</si>
  <si>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</si>
  <si>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</si>
  <si>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</si>
  <si>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</si>
  <si>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</si>
  <si>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</si>
  <si>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</si>
  <si>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</si>
  <si>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</si>
  <si>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</si>
  <si>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</si>
  <si>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</si>
  <si>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</si>
  <si>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</si>
  <si>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</si>
  <si>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</si>
  <si>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</si>
  <si>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</si>
  <si>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</si>
  <si>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</si>
  <si>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</si>
  <si>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</si>
  <si>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</si>
  <si>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</si>
  <si>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</si>
  <si>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</si>
  <si>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</si>
  <si>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</si>
  <si>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</si>
  <si>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</si>
  <si>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</si>
  <si>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</si>
  <si>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</si>
  <si>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</si>
  <si>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</si>
  <si>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</si>
  <si>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</si>
  <si>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Porcentaje de autorizaciones ambientales con seguimiento</t>
  </si>
  <si>
    <t xml:space="preserve"> </t>
  </si>
  <si>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</si>
  <si>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</si>
  <si>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</si>
  <si>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</si>
  <si>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</si>
  <si>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</si>
  <si>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</si>
  <si>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</si>
  <si>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</si>
  <si>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</si>
  <si>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</si>
  <si>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</si>
  <si>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</si>
  <si>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</si>
  <si>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</si>
  <si>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</si>
  <si>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Seguimiento de licencias ambientales</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</si>
  <si>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</si>
  <si>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</si>
  <si>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</si>
  <si>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</si>
  <si>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</si>
  <si>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</si>
  <si>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</si>
  <si>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</si>
  <si>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</si>
  <si>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</si>
  <si>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</si>
  <si>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Seguimiento de concesiones de agua</t>
  </si>
  <si>
    <t>Valor</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</si>
  <si>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</si>
  <si>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</si>
  <si>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</si>
  <si>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</si>
  <si>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</si>
  <si>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</si>
  <si>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</si>
  <si>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</si>
  <si>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</si>
  <si>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</si>
  <si>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</si>
  <si>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</si>
  <si>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</si>
  <si>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</si>
  <si>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</si>
  <si>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</si>
  <si>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</si>
  <si>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</si>
  <si>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</si>
  <si>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</si>
  <si>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</si>
  <si>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</si>
  <si>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</si>
  <si>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</si>
  <si>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</si>
  <si>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</si>
  <si>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</si>
  <si>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</si>
  <si>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</si>
  <si>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</si>
  <si>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</si>
  <si>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</si>
  <si>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Porcentaje de Procesos Sancionatorios Resueltos</t>
  </si>
  <si>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</si>
  <si>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</si>
  <si>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</si>
  <si>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</si>
  <si>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</si>
  <si>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</si>
  <si>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</si>
  <si>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</si>
  <si>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</si>
  <si>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</si>
  <si>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</si>
  <si>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</si>
  <si>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</si>
  <si>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</si>
  <si>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</si>
  <si>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</si>
  <si>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</si>
  <si>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</si>
  <si>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</si>
  <si>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</si>
  <si>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Porcentaje de municipios asesorados o asistidos en la inclusión del componente ambiental en los procesos de planificación y ordenamiento territorial, con énfasis en la incorporación de las determinantes ambientales para la revisión y ajuste de los POT</t>
  </si>
  <si>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</si>
  <si>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</si>
  <si>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</si>
  <si>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</si>
  <si>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</si>
  <si>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</si>
  <si>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</si>
  <si>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</si>
  <si>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</si>
  <si>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</si>
  <si>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</si>
  <si>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</si>
  <si>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</si>
  <si>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</si>
  <si>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</si>
  <si>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</si>
  <si>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</si>
  <si>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</si>
  <si>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</si>
  <si>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</si>
  <si>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</si>
  <si>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</si>
  <si>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</si>
  <si>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</si>
  <si>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</si>
  <si>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</si>
  <si>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</si>
  <si>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</si>
  <si>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Porcentaje de redes y estaciones de monitoreo en operación</t>
  </si>
  <si>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</si>
  <si>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</si>
  <si>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</si>
  <si>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</si>
  <si>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</si>
  <si>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</si>
  <si>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</si>
  <si>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</si>
  <si>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</si>
  <si>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</si>
  <si>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</si>
  <si>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</si>
  <si>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</si>
  <si>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</si>
  <si>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</si>
  <si>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</si>
  <si>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</si>
  <si>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</si>
  <si>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</si>
  <si>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</si>
  <si>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</si>
  <si>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</si>
  <si>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</si>
  <si>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</si>
  <si>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</si>
  <si>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</si>
  <si>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</si>
  <si>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</si>
  <si>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</si>
  <si>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</si>
  <si>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</si>
  <si>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</si>
  <si>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</si>
  <si>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</si>
  <si>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</si>
  <si>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</si>
  <si>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</si>
  <si>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</si>
  <si>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</si>
  <si>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</si>
  <si>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</si>
  <si>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</si>
  <si>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</si>
  <si>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</si>
  <si>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</si>
  <si>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Redes instaladas en la Corporación</t>
  </si>
  <si>
    <t>Red1</t>
  </si>
  <si>
    <t>Red2</t>
  </si>
  <si>
    <t>Red3</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</si>
  <si>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</si>
  <si>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</si>
  <si>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</si>
  <si>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</si>
  <si>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</si>
  <si>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</si>
  <si>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</si>
  <si>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</si>
  <si>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</si>
  <si>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</si>
  <si>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</si>
  <si>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</si>
  <si>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</si>
  <si>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</si>
  <si>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</si>
  <si>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</si>
  <si>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</si>
  <si>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</si>
  <si>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Ponderación</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</si>
  <si>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</si>
  <si>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</si>
  <si>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</si>
  <si>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</si>
  <si>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Porcentaje de actualización y reporte de la información en el SIAC</t>
  </si>
  <si>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</si>
  <si>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</si>
  <si>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</si>
  <si>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</si>
  <si>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</si>
  <si>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</si>
  <si>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</si>
  <si>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</si>
  <si>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</si>
  <si>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</si>
  <si>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</si>
  <si>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</si>
  <si>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</si>
  <si>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t>Porcentaje de actualización y reporte de la información al SIAC</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</si>
  <si>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</si>
  <si>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</si>
  <si>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</si>
  <si>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</si>
  <si>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</si>
  <si>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</si>
  <si>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</si>
  <si>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</si>
  <si>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</si>
  <si>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</si>
  <si>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</si>
  <si>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</si>
  <si>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t>Porcentaje de actualización y reporte de la información por cada subsistema (información validada)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</si>
  <si>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</si>
  <si>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</si>
  <si>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</si>
  <si>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</si>
  <si>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</si>
  <si>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</si>
  <si>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</si>
  <si>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</si>
  <si>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</si>
  <si>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</si>
  <si>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</si>
  <si>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</si>
  <si>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RESPEL</t>
  </si>
  <si>
    <t>SIUR (RUA)</t>
  </si>
  <si>
    <t>Número de registros validados al año (RVS)</t>
  </si>
  <si>
    <t>Número de registros totales a ser validados por la Corporación (RTVS)</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</si>
  <si>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</si>
  <si>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</si>
  <si>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</si>
  <si>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Ejecución de Acciones en Educación Ambiental</t>
  </si>
  <si>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</si>
  <si>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</si>
  <si>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</si>
  <si>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</si>
  <si>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</si>
  <si>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</si>
  <si>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</si>
  <si>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</si>
  <si>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</si>
  <si>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</si>
  <si>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</si>
  <si>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</si>
  <si>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</si>
  <si>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</si>
  <si>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</si>
  <si>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</si>
  <si>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</si>
  <si>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</si>
  <si>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</si>
  <si>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</si>
  <si>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</si>
  <si>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</si>
  <si>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</si>
  <si>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</si>
  <si>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</si>
  <si>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</si>
  <si>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</si>
  <si>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</si>
  <si>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</si>
  <si>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</si>
  <si>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</si>
  <si>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</si>
  <si>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</si>
  <si>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1.</t>
  </si>
  <si>
    <t>Porcentaje de avance en la formulación y/o ajuste de los Planes de Ordenación y Manejo de Cuencas (POMCAS), Planes de Manejo de Acuíferos (PMA) y Planes de Manejo de Microcuencas (PMM)</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</si>
  <si>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</si>
  <si>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</si>
  <si>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</si>
  <si>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</si>
  <si>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</si>
  <si>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</si>
  <si>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</si>
  <si>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</si>
  <si>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</si>
  <si>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</si>
  <si>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</si>
  <si>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</si>
  <si>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</si>
  <si>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</si>
  <si>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</si>
  <si>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</si>
  <si>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</si>
  <si>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</si>
  <si>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</si>
  <si>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</si>
  <si>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</si>
  <si>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</si>
  <si>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</si>
  <si>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</si>
  <si>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</si>
  <si>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</si>
  <si>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Marinas, costeras  e Insulares (*)</t>
  </si>
  <si>
    <t>Porcentaje de sectores con acompañamiento para la reconversión hacia sistemas sostenibles de producción (PSA = SA / SPA)</t>
  </si>
  <si>
    <t>Sectores acompañados en la reconversión hacia sistemas sostenibles de producción (SA)</t>
  </si>
  <si>
    <t>BORRE O AGREGUE REDES</t>
  </si>
  <si>
    <t>Porcentaje de información validada por la Corporación (PARSIV ) (C = B / A)</t>
  </si>
  <si>
    <t>Observación</t>
  </si>
  <si>
    <t>No. Hoja</t>
  </si>
  <si>
    <t>Indicador</t>
  </si>
  <si>
    <t>Observaciones para la mejora de la aplicación de los indicadores</t>
  </si>
  <si>
    <t xml:space="preserve">Año </t>
  </si>
  <si>
    <t>VOLVER AL INDICE</t>
  </si>
  <si>
    <t>Área (Has)</t>
  </si>
  <si>
    <t>Hoja de fórmulas</t>
  </si>
  <si>
    <t>Relación de páramos delimitados por el MADS, con zonificación y régimen de usos adoptados por la CAR</t>
  </si>
  <si>
    <t>Nombre del páramo</t>
  </si>
  <si>
    <t>Estado de avance</t>
  </si>
  <si>
    <t>* Valor Acumulado</t>
  </si>
  <si>
    <t>Variable  (*)</t>
  </si>
  <si>
    <t>Minero</t>
  </si>
  <si>
    <t>*</t>
  </si>
  <si>
    <t>infraestructura</t>
  </si>
  <si>
    <t>Identificar, prevenir y mitigar amenazas y vulnerabilidades de origen natural, socio natural y antrópico</t>
  </si>
  <si>
    <t>Promedio de Planes en ejecución</t>
  </si>
  <si>
    <t>Inscrita en el RUNAP</t>
  </si>
  <si>
    <t>Inscritas en el RUNAP</t>
  </si>
  <si>
    <t>Resumen del Indicador</t>
  </si>
  <si>
    <t>Meta de áreas inscritas en el RUNAP (ha)</t>
  </si>
  <si>
    <t>Superficie total de áreas protegidas regionales declaradas, homologadas o recategorizadas, inscritas en el RUNAP</t>
  </si>
  <si>
    <t xml:space="preserve">Meta total de nuevas áreas protegidas a ser inscritas en el RUNAP en el cuatrienio (ha) </t>
  </si>
  <si>
    <t>Superfice de avance anual (ha)</t>
  </si>
  <si>
    <t>Avance Cuatrienal (%)</t>
  </si>
  <si>
    <t>Ponderador acumulado esperado en cada fase</t>
  </si>
  <si>
    <t>Ponderaciones de referencia</t>
  </si>
  <si>
    <t>Formulación</t>
  </si>
  <si>
    <t>Aprestamiento</t>
  </si>
  <si>
    <t>Logística</t>
  </si>
  <si>
    <t>Oficina</t>
  </si>
  <si>
    <t>Preparación</t>
  </si>
  <si>
    <t>Avance (Ponderación acumulada)</t>
  </si>
  <si>
    <t>Meta de avance anual (%)</t>
  </si>
  <si>
    <t>Determinación de la Meta de Avance Anual</t>
  </si>
  <si>
    <t>Hectareas</t>
  </si>
  <si>
    <t>Avance esperado (Ponderación acumulada)</t>
  </si>
  <si>
    <t>Meta de avance anual (ha)</t>
  </si>
  <si>
    <t>Meta de avance anual ponderada (ha)</t>
  </si>
  <si>
    <t>Descripción</t>
  </si>
  <si>
    <t xml:space="preserve">Definición de la unidad objeto de ordenación forestal
Asignación de recursos
Inicio del proceso pre y contractual
Conformación del equipo de trabajo  </t>
  </si>
  <si>
    <t>Actividades de referencia  en el proceso de formulación, implementación y seguimiento del Plan de Ordenación Forestal</t>
  </si>
  <si>
    <t>Consulta, validación y digitalización de información secundaria
Procesamiento e interpretación de imágenes satelitales
Generación de información cartográfica preliminar
Definición de metodología para levantamiento de información primaria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</si>
  <si>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</si>
  <si>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 xml:space="preserve">Procesamiento y análisis de información primaria
Propuesta zonificación inicial de la UOF
Propuesta de zonificación de las áreas forestales que componen la UOF
 Formulación del POF para cada área forestal de la UOF
</t>
  </si>
  <si>
    <t>Socialización versión premiminar de los POF
Armonización de los POF con actores locales y regionales
Edición y ajustes de los POF</t>
  </si>
  <si>
    <t>Aprobación de los POF por el Consejo Directivo de la autoridad ambiental competente</t>
  </si>
  <si>
    <t>Aprobación</t>
  </si>
  <si>
    <t>Seguimiento de permisos de vertimiento de agua</t>
  </si>
  <si>
    <t>Porcentaje de autorizaciones ambientales con seguimiento (promedio simple)</t>
  </si>
  <si>
    <t>Cálculo del indicador global</t>
  </si>
  <si>
    <t>% Seguimiento</t>
  </si>
  <si>
    <t>Seguimiento ponderado</t>
  </si>
  <si>
    <t>Tiempo Promedio</t>
  </si>
  <si>
    <t>Meta anual</t>
  </si>
  <si>
    <t>% Meta alcanzada</t>
  </si>
  <si>
    <t>Porcentaje de actualización y reporte de la información al SIAC (Promedio)</t>
  </si>
  <si>
    <t>NO APLICA</t>
  </si>
  <si>
    <t>SI APLICA</t>
  </si>
  <si>
    <t>NO SE REPORTA</t>
  </si>
  <si>
    <t>SI SE REPORTA</t>
  </si>
  <si>
    <t xml:space="preserve"> ¿El Indicador aplica por las especificades ambientales regionales? </t>
  </si>
  <si>
    <t>Acuerdo Consejo Directivo</t>
  </si>
  <si>
    <t xml:space="preserve">Observaciones </t>
  </si>
  <si>
    <t>Acuerdo</t>
  </si>
  <si>
    <t>Programas</t>
  </si>
  <si>
    <t>Programa o Proyecto asociado</t>
  </si>
  <si>
    <t>PAFP t =</t>
  </si>
  <si>
    <t>COMPORTAMIENTO META FISICA 
PLAN DE ACCION</t>
  </si>
  <si>
    <t>META FINANCIERA                                                                                                  PLAN DE ACCION</t>
  </si>
  <si>
    <t xml:space="preserve">   (2)                                      UNIDAD DE MEDIDA</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</si>
  <si>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</si>
  <si>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</si>
  <si>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ANEXO No. 2.PROTOCOLO O GUÍA DE DILIGENCIAMIENTO</t>
  </si>
  <si>
    <t xml:space="preserve">MATRIZ DE SEGUIMIENTO A LA GESTIÓN Y DE AVANCE EN LAS METAS FÍSICAS Y FINANCIERAS DEL PLAN DE ACCIÓN </t>
  </si>
  <si>
    <t xml:space="preserve">ITEM </t>
  </si>
  <si>
    <t>DEFINICIONES</t>
  </si>
  <si>
    <t>(2) UNIDAD DE MEDIDA</t>
  </si>
  <si>
    <t>(3) META FÍSICA ANUAL</t>
  </si>
  <si>
    <t>Reporte el avance acumulado para el periodo evaluado, en la ejecución física de la respectiva meta anual programada en la columna (3). Ejemplo: 35 hectáreas reforestadas, 3 microcuencas con plan de ordenamiento formulado, etc.  Si no se presenta avance en el programa o proyecto, se deberá diligenciar la matriz con ceros (0,0) y en ningún caso dejar celdas en blanco.</t>
  </si>
  <si>
    <t>(5) PORCENTAJE DE AVANCE FISICO (Periodo Evaluado)</t>
  </si>
  <si>
    <t>Cuando el avance de la meta física prevista para cada proyecto no es cuantificable, para el corte del periodo evaluado, reporte en porcentaje, el equivalente a la gestión realizada.  Esta columna solamente aplica para el primer semestre de cada año, dado que en el informe anualizado se debe contar con algún tipo de producto o parte de este, de acuerdo con la meta planteada, por lo tanto en el informe anualizado esta columna debera ser diligenciada con NA. correspondiente</t>
  </si>
  <si>
    <t>Identifique el valor  (en numero) de la meta del plan de acción con relación al programa y/o proyecto reportado en la columna (1). Ejemplo: hectáreas reforestadas, microcuencas con plan de ordenamiento formulado, # de vertimientos reglamentados, etc.</t>
  </si>
  <si>
    <t xml:space="preserve">Relacione aquí de acuerdo al plan de inversión vigente (incluye adiciones o modificaciones) los montos de inversión anual previstos para cada programa o proyecto </t>
  </si>
  <si>
    <r>
      <t>Reporte el avance acumulado para el periodo evaluado, en la ejecución financiera de la respectiva meta anual programada en la columna (11).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</si>
  <si>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 xml:space="preserve">Calcule el porcentaje del avance anual de la Meta financiera programada. Divida el valor de la columna  (12) con el valor de la columna (11) y multiplique por 100. </t>
  </si>
  <si>
    <t>Realice las respectivas observaciones que sean necesarias, principalmente cuando se requiera hacer alguna precisión sobre el avance de las metas físicas y financieras..</t>
  </si>
  <si>
    <t>NIVEL RENTISTICO</t>
  </si>
  <si>
    <t>Multas y sanciones</t>
  </si>
  <si>
    <t>Donaciones</t>
  </si>
  <si>
    <t>CONCEPTO</t>
  </si>
  <si>
    <t>GASTOS DE PERSONAL</t>
  </si>
  <si>
    <t>TRANSFERENCIAS CORRIENTES</t>
  </si>
  <si>
    <t>SENTENCIAS Y CONCILIACIONES</t>
  </si>
  <si>
    <t>Nombre de la Corporación</t>
  </si>
  <si>
    <t>Corporación Autónoma Regional del Alto Magdalena - CAM</t>
  </si>
  <si>
    <t>Corporación Autónoma Regional de Cundinamarca – CAR</t>
  </si>
  <si>
    <t>Corporación Autónoma Regional del Canal del Dique – CARDIQUE</t>
  </si>
  <si>
    <t>Corporación Autónoma Regional de Sucre – CARSUCRE</t>
  </si>
  <si>
    <t>Corporación Autónoma Regional de Santander – CAS</t>
  </si>
  <si>
    <t>Corporación para el Desarrollo Sostenible del Norte y el Oriente Amazónico – CDA</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</si>
  <si>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</si>
  <si>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</si>
  <si>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</si>
  <si>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</si>
  <si>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</si>
  <si>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</si>
  <si>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</si>
  <si>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</si>
  <si>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</si>
  <si>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</si>
  <si>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</si>
  <si>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</si>
  <si>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</si>
  <si>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</si>
  <si>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</si>
  <si>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</si>
  <si>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</si>
  <si>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</si>
  <si>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</si>
  <si>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</si>
  <si>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</si>
  <si>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</si>
  <si>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</si>
  <si>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</si>
  <si>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</si>
  <si>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</si>
  <si>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Periodo a reportar</t>
  </si>
  <si>
    <t>Nombre de la persona responsable del reporte</t>
  </si>
  <si>
    <t xml:space="preserve">MATRIZ DE SEGUIMIENTO DEL PLAN DE ACCIÓN
ANEXO No. 1. AVANCE EN LAS METAS FÍSICAS Y FINANCIERAS DEL PLAN DE ACCIÓN  </t>
  </si>
  <si>
    <t>PERIODO REPORTADO:</t>
  </si>
  <si>
    <t xml:space="preserve">ANEXO NO. 3. MATRIZ DE REPORTE DE AVANCE DE INDICADORES MÍNIMOS DE GESTIÓN INCORPORADOS EN LA RESOLUCIÓN 667 DE 2016  </t>
  </si>
  <si>
    <t>(1)
ESTRUCTURA RENTISTICA</t>
  </si>
  <si>
    <t>(2)
CONCEPTO</t>
  </si>
  <si>
    <t>(3)
PROYECTADO PLAN FINANCIERO</t>
  </si>
  <si>
    <t>MODIFICACIONES</t>
  </si>
  <si>
    <t xml:space="preserve">(6)
APROPIACIÓN FINAL
(3+4-5)
</t>
  </si>
  <si>
    <t>DISTRIBUCIÓN</t>
  </si>
  <si>
    <t>(11)
DERECHOS POR COBRAR</t>
  </si>
  <si>
    <t>(12)
RECAUDO
EFECTIVO</t>
  </si>
  <si>
    <t>(13)
% DE RECAUDO</t>
  </si>
  <si>
    <t>NIVEL ESTRUCTURAL</t>
  </si>
  <si>
    <t>SUBNIVEL RENTISTICO</t>
  </si>
  <si>
    <t>NIVEL 1</t>
  </si>
  <si>
    <t>NIVEL 2</t>
  </si>
  <si>
    <t>NIVEL 3</t>
  </si>
  <si>
    <t>NIVEL 4</t>
  </si>
  <si>
    <t>NIVEL 5</t>
  </si>
  <si>
    <t>(4)
ADICIÓN</t>
  </si>
  <si>
    <t>(5)
REDUCCIÓN</t>
  </si>
  <si>
    <t>(7)
FUNCIONAMIENTO</t>
  </si>
  <si>
    <t>(8)
INVERSIÓN</t>
  </si>
  <si>
    <t>(9)
FCA</t>
  </si>
  <si>
    <t>(10)
SERVICIO A LA DEUDA</t>
  </si>
  <si>
    <t>1</t>
  </si>
  <si>
    <t>Ingresos</t>
  </si>
  <si>
    <t>01</t>
  </si>
  <si>
    <t>Ingresos Corrientes</t>
  </si>
  <si>
    <t>Ingresos tributarios</t>
  </si>
  <si>
    <t>Impuestos directos</t>
  </si>
  <si>
    <t>Sobretasa ambiental - Peajes</t>
  </si>
  <si>
    <t>02</t>
  </si>
  <si>
    <t>Contribuciones</t>
  </si>
  <si>
    <t>Contribuciones diversas</t>
  </si>
  <si>
    <t>Contribución sector eléctrico</t>
  </si>
  <si>
    <t>03</t>
  </si>
  <si>
    <t>04</t>
  </si>
  <si>
    <t>Tasa retributiva</t>
  </si>
  <si>
    <t>Tasa por el uso del agua</t>
  </si>
  <si>
    <t>05</t>
  </si>
  <si>
    <t>06</t>
  </si>
  <si>
    <t>07</t>
  </si>
  <si>
    <t>08</t>
  </si>
  <si>
    <t>Multas, sanciones e intereses de mora</t>
  </si>
  <si>
    <t>Multas ambientales</t>
  </si>
  <si>
    <t>Intereses de mora</t>
  </si>
  <si>
    <t>Agricultura, silvicultura y productos de la pesca</t>
  </si>
  <si>
    <t>Productos metálicos, maquinaria y equipo</t>
  </si>
  <si>
    <t>Aportes de la Nación para Gastos de personal</t>
  </si>
  <si>
    <t>Aportes de la Nación para Adquisición de bienes y servicios</t>
  </si>
  <si>
    <t>Aportes de la Nación para Transferencias corrientes</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</si>
  <si>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</si>
  <si>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</si>
  <si>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</si>
  <si>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</si>
  <si>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</si>
  <si>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</si>
  <si>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Aportes del Sistema de Participación General de Regalias - SPGR</t>
  </si>
  <si>
    <t>Aportes del SPGR para Funcionamiento</t>
  </si>
  <si>
    <t>Aportes del SPGR para Servicio de la Deuda</t>
  </si>
  <si>
    <t>Aportes del SPGR para Inversión</t>
  </si>
  <si>
    <t>Recursos de capital</t>
  </si>
  <si>
    <t>Disposición de activos</t>
  </si>
  <si>
    <t>Disposición de activos no financieros</t>
  </si>
  <si>
    <t>Disposición de activos fijos</t>
  </si>
  <si>
    <t>Disposición de edificaciones y estructuras</t>
  </si>
  <si>
    <t>Disposición de maquinaria y equipo</t>
  </si>
  <si>
    <t>Disposición de otros activos fijos</t>
  </si>
  <si>
    <t>Disposición de productos de la propiedad intelectual</t>
  </si>
  <si>
    <t>Disposición de activos no producidos</t>
  </si>
  <si>
    <t>Disposición de  tierras y terrenos</t>
  </si>
  <si>
    <t>09</t>
  </si>
  <si>
    <t>10</t>
  </si>
  <si>
    <t>11</t>
  </si>
  <si>
    <t>12</t>
  </si>
  <si>
    <t>Recursos de crédito externo</t>
  </si>
  <si>
    <t>Recursos de contratos de empréstitos externos</t>
  </si>
  <si>
    <t>Bancos comerciales</t>
  </si>
  <si>
    <t>Entidades de fomento</t>
  </si>
  <si>
    <t>Recursos de crédito interno</t>
  </si>
  <si>
    <t>Recursos de contratos de empréstitos internos</t>
  </si>
  <si>
    <t>Indemnizaciones relacionadas con seguros no de vida</t>
  </si>
  <si>
    <t xml:space="preserve"> INFORME DE EJECUCION PRESUPUESTAL DE INGRESOS </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</si>
  <si>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</si>
  <si>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</si>
  <si>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</si>
  <si>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</si>
  <si>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</si>
  <si>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</si>
  <si>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</si>
  <si>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</si>
  <si>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</si>
  <si>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</si>
  <si>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</si>
  <si>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2</t>
  </si>
  <si>
    <t>GASTOS DE FUNCIONAMIENTO</t>
  </si>
  <si>
    <t>ADQUISICIÓN DE BIENES Y SERVICIOS</t>
  </si>
  <si>
    <t>Adquisición de activos no financieros</t>
  </si>
  <si>
    <t>Adquisiciones diferentes de activos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</si>
  <si>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</si>
  <si>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</si>
  <si>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</si>
  <si>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</si>
  <si>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</si>
  <si>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</si>
  <si>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</si>
  <si>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</si>
  <si>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</si>
  <si>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</si>
  <si>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</si>
  <si>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Comisiones y otros gastos</t>
  </si>
  <si>
    <t>GASTOS POR TRIBUTOS, MULTAS, SANCIONES E INTERESES DE MORA</t>
  </si>
  <si>
    <t>IMPUESTOS</t>
  </si>
  <si>
    <t>IMPUESTOS TERRITORIALES</t>
  </si>
  <si>
    <t>Impuesto sobre vehículos automotores.</t>
  </si>
  <si>
    <t>TASAS Y DERECHOS ADMINISTRATIVOS</t>
  </si>
  <si>
    <t>Peajes.</t>
  </si>
  <si>
    <t>CONTRIBUCIONES</t>
  </si>
  <si>
    <t>Cuota de fiscalización y auditaje</t>
  </si>
  <si>
    <t>Multas</t>
  </si>
  <si>
    <t>Sanciones</t>
  </si>
  <si>
    <t>SERVICIO DE LA DEUDA</t>
  </si>
  <si>
    <t>Servicios de la deuda pública externa</t>
  </si>
  <si>
    <t>Intereses de la deduda pública externa</t>
  </si>
  <si>
    <t>Servicios de la deuda pública interna</t>
  </si>
  <si>
    <t>Intereses de la deduda pública interna</t>
  </si>
  <si>
    <t>Fondo de contigencias</t>
  </si>
  <si>
    <t>TOTAL GASTOS DE INVERSIÓN</t>
  </si>
  <si>
    <t>Objetivo</t>
  </si>
  <si>
    <t>Producto</t>
  </si>
  <si>
    <t>TOTAL PRESUPUESTO DE GASTOS</t>
  </si>
  <si>
    <t>CONCEPTO 
(2)</t>
  </si>
  <si>
    <t>Reporte el avance acumulado en la vigencia del Plan de Acción, desde su aprobación hasta el periodo del informe.  Ejemplo $100'000.000.oo (2020) + $150'000.000.oo (2021), da un acumulado de inversión del Plan de Acción de $250'000.000.oo</t>
  </si>
  <si>
    <t>Número de cuencas con POMCAS aprobados, bajo el nuevo marco normativo (Decreto 1076 de 2015) a 31 de diciembre de 2019:</t>
  </si>
  <si>
    <t>Meta de POMCAS aprobados para el cuatrienio 2020-2023 (número):</t>
  </si>
  <si>
    <t>Meta de PMA aprobados para el cuatrienio 2020-2023 (número):</t>
  </si>
  <si>
    <t>Meta de PMM aprobados para el cuatrienio 2020-2023 (número):</t>
  </si>
  <si>
    <t>Estado de avance a 31 de diciembre de 2019 (c)</t>
  </si>
  <si>
    <t>Estado de avance a 31 de diciembre de 2019 (%)</t>
  </si>
  <si>
    <t>Número total de cuerpos de agua sujeto de reglamentación de planes de ordenamiento del recurso hídrico (PORH) adoptados a 31/12/2019:</t>
  </si>
  <si>
    <t>Número total de cuerpos de agua con reglamentación del uso de las aguas a 31/12/2019:</t>
  </si>
  <si>
    <t>Número total de Programas de Uso Eficiente y Ahorro del Agua (PUEAA) aprobados por la Corporación a 31/12/2019:</t>
  </si>
  <si>
    <t>Número de áreas protegidas inscritas en el RUNAP a 31/12/2019 (número)</t>
  </si>
  <si>
    <t>Superficie de áreas protegidas inscritas en el RUNAP a 31/12/2019 (ha)</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</si>
  <si>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</si>
  <si>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</si>
  <si>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Superficie cubierta en el Plan de Ordenación Forestal adoptado a 31/12/2019 (ha)</t>
  </si>
  <si>
    <t>Superficie total del Plan de Ordenación Forestal a 31/12/2023 (ha)</t>
  </si>
  <si>
    <t>Número total de licencias ambientales vigentes y aprobadas por la Corporación a 31/12/2109:</t>
  </si>
  <si>
    <t>Número de usuarios de agua a 31/12/2019</t>
  </si>
  <si>
    <t>Número de concesiones de agua otorgadas a 31/12/2019</t>
  </si>
  <si>
    <t>Número de captaciones de agua otorgadas a 31/12/2019</t>
  </si>
  <si>
    <t>Número de usuarios de vertimientos de agua a 31/12/2019</t>
  </si>
  <si>
    <t>Número de permisos de vertimiento de agua otorgadas a 31/12/2019</t>
  </si>
  <si>
    <t>Número de puntos de vertimientos a 31/12/2019</t>
  </si>
  <si>
    <t>Número de usuarios de permisos de aprovechamiento forestal a 31/12/2019</t>
  </si>
  <si>
    <t>Número de permisos de aprovechamiento forestal vigentes a 31/12/2019</t>
  </si>
  <si>
    <t>Número de usuarios de permisos de emisiones atmosféricas a 31/12/2019</t>
  </si>
  <si>
    <t>Número de permisos de emisiones atmosféricas vigentes a 31/12/2019</t>
  </si>
  <si>
    <t>ANEXOS INFORME DE SEGUIMIENTO AL PLAN DE ACCIÓN 2020-2023</t>
  </si>
  <si>
    <t>Relacione aquí de acuerdo al plan de inversión del Plan de Acción  los montos de inversión previstos para cada programa o proyecto para los cuatro años. (incluye adiciones o modificaciones).</t>
  </si>
  <si>
    <t xml:space="preserve">(5-A) DESCRIPCIÓN DEL AVANCE </t>
  </si>
  <si>
    <t>Reporte el avance acumulado de la meta física que se obtenga desde la aprobación del Plan de Acción, incluyendo el periodo evaluado.  Ejemplo 100 Ha reforestadas (2020), más 140 Ha reforestadas (2021), para un acumulado de 240 Ha (2020+2021)</t>
  </si>
  <si>
    <t>3201 – Fortalecimiento del desempeño ambiental de los sectores productivos.</t>
  </si>
  <si>
    <t>3202 – Conservación de la biodiversidad y sus servicios ecosistémicos.</t>
  </si>
  <si>
    <t>3203 – Gestión integral del recurso hídrico.</t>
  </si>
  <si>
    <t>3204 – Gestión de la información y el conocimiento ambiental.</t>
  </si>
  <si>
    <t>3205 – Ordenamiento ambiental territorial.</t>
  </si>
  <si>
    <t>3206 – Gestión del cambio climático para un desarrollo bajo en carbono y resiliente al clima.</t>
  </si>
  <si>
    <t>3207 – Gestión integral de mares, costas y recursos acuáticos.</t>
  </si>
  <si>
    <t>3208 – Educación Ambiental.</t>
  </si>
  <si>
    <t>3299 – Fortalecimiento de la gestión y dirección del Sector Ambiente y Desarrollo Sostenible.</t>
  </si>
  <si>
    <t>No Aplica</t>
  </si>
  <si>
    <t>Carlos Santodomingo Vega</t>
  </si>
  <si>
    <t>Ofcina de Planeación</t>
  </si>
  <si>
    <t>Profesional Especializado</t>
  </si>
  <si>
    <t>csantodomingo@corpamag.gov.co</t>
  </si>
  <si>
    <t>2020-I</t>
  </si>
  <si>
    <t xml:space="preserve"> (57 - 5) 4380200 - 4380300</t>
  </si>
  <si>
    <t>PROGRAMA 1. EDUCACIÓN AMBIENTAL</t>
  </si>
  <si>
    <t>1.1 IMPLEMENTACIÓN DE LA POLÍTICA DE EDUCACIÓN AMBIENTAL</t>
  </si>
  <si>
    <t>1.1.1 Fortalecimiento a los comités técnicos municipales y departamental interinstitucionales de educación ambiental - CIDEA</t>
  </si>
  <si>
    <t>1.1.2  Asesorar y/o implementar los Proyectos Ambientales Escolares - PRAES de las instituciones educativas en el departamento del Magdalena</t>
  </si>
  <si>
    <t>1.1.3 Articulación interinstitucional para formulación e implementación de Proyectos Ciudadanos de Educación Ambiental - PROCEDA</t>
  </si>
  <si>
    <t>1.1.4 Brindar acompañamiento técnico a la formulación del Plan de Educación Ambiental Departamental.</t>
  </si>
  <si>
    <t>1.1.5 Fortalecer la educación ambiental y el desarrollo sostenible a través de las TICS</t>
  </si>
  <si>
    <t>1.2 IMPLEMENTACIÓN DE ESTRATEGIAS DE PARTICIPACIÓN Y CULTURA AMBIENTAL</t>
  </si>
  <si>
    <t>1.2.1 Implementación de dialogo de saberes con comunidades indígenas y afrodescendientes</t>
  </si>
  <si>
    <t>1.2.2 Sensibilizar y capacitar a las comunidades e instituciones en temáticas ambiental que promueven el mejoramiento de la cultura ambiental</t>
  </si>
  <si>
    <t>1.2.3 Identificación y fortalecimiento a Líderes ambientales</t>
  </si>
  <si>
    <t>1.2.4 Implementación de campañas de educación ambiental</t>
  </si>
  <si>
    <t>PROGRAMA 2. FORTALECIMIENTO DEL DESEMPEÑO AMBIENTAL DE LOS SECTORES PRODUCTIVOS</t>
  </si>
  <si>
    <t>2.1 FORTALECIMIENTO DEL PROGRAMA REGIONAL DE NEGOCIOS VERDES</t>
  </si>
  <si>
    <t>2.1.2 Fomentar los emprendimientos verdes e inclusivos dentro del territorio regional</t>
  </si>
  <si>
    <t xml:space="preserve">2.1.3 Implementar acciones de verificación de negocios verdes </t>
  </si>
  <si>
    <t>2.1.4 Implementación del Plan de marketing territorial</t>
  </si>
  <si>
    <t>2.2 IMPLEMENTACIÓN DE ESTRATEGIAS PARA LA SOSTENIBILIDAD AMBIENTAL DE LA CIÉNAGA GRANDE DE SANTA MARTA</t>
  </si>
  <si>
    <t>2.2.1 Apoyar en el Fortalecimiento de la capacidad productiva de las asociaciones de pescadores y agricultores en la CGSM</t>
  </si>
  <si>
    <t xml:space="preserve">2.2.2 Implementar proyectos productivos sostenibles </t>
  </si>
  <si>
    <t>2.3 IMPLEMENTACIÓN DE LA POLÍTICA AMBIENTAL PARA LA GESTIÓN INTEGRAL DE RESIDUOS O DESECHOS PELIGROSOS</t>
  </si>
  <si>
    <t>2.3.1 Actualizacion del plan de gestion integral de residuos peligrosos 2020-2030</t>
  </si>
  <si>
    <t>2.3.2 Implementación del plan de gestion integral de residuos peligrosos 2020-2030</t>
  </si>
  <si>
    <t>2.3.3 Brindar acompañamiento a los sectores productivos en la gestión de residuos Posconsumo</t>
  </si>
  <si>
    <t>2.3.4 Efectuar control y seguimiento a generadores y empresas gestoras RESPEL</t>
  </si>
  <si>
    <t>2.3.5 Efectuar control y seguimiento a los propietarios de equipos o desechos que consistan, contengan o estén contaminados con Bifenilos Policlorados (PCB).</t>
  </si>
  <si>
    <t xml:space="preserve">2.3.6 Fomentar la Economía Circular en la Agenda Departamental de Competitividad </t>
  </si>
  <si>
    <t>2.4 AUTORIDAD AMBIENTAL Y ADMINISTRACIÓN DE LOS RECURSOS NATURALES</t>
  </si>
  <si>
    <t>2.4.1 Gestión de los procesos sancionatorios</t>
  </si>
  <si>
    <t>2.4.2 Gestión de trámites ambientales</t>
  </si>
  <si>
    <t>2.4.3 Seguimiento a autorizaciones ambientales</t>
  </si>
  <si>
    <t>2.4.4. Seguimiento a los PSMV</t>
  </si>
  <si>
    <t>2.4.5. Seguimiento a los PUEAA</t>
  </si>
  <si>
    <t>2.4.6. Seguimiento a los PGIRS</t>
  </si>
  <si>
    <t>2.4.7 Implementación de alianzas interinstitucionales para el ejercicio de la autoridad ambiental</t>
  </si>
  <si>
    <t>2.5 GESTIÓN SOSTENIBLE DEL SUELO</t>
  </si>
  <si>
    <t>2.5.1 Implementación acciones de la Política para la gestión sostenible del suelo</t>
  </si>
  <si>
    <t>2.5.2 Implementar acciones de recuperación y/o rehabilitación de suelos degradados en áreas priorizadas del departamento del Magdalena</t>
  </si>
  <si>
    <t>2.6 GESTIÓN INTEGRAL DE LA CALIDAD DEL AIRE</t>
  </si>
  <si>
    <t xml:space="preserve">2.6.1 Operativizar el Sistema de Vigilancia de la Calidad del Aire - SVCA </t>
  </si>
  <si>
    <t>2.6.3 Implementar acciones para la disminución de los niveles de ruido en zonas criticas</t>
  </si>
  <si>
    <t>2.6.4 Evaluación de parámetros contaminantes de la calidad del aire, que inciden en la salud pública y los recursos naturales</t>
  </si>
  <si>
    <t>2.6.2 Automatización del Sistema de Vigilancia de la Calidad del Aire - SVCA</t>
  </si>
  <si>
    <t>PROGRAMA 3. CONSERVACIÓN DE LA BIODIVERSIDAD Y SUS SERVICIOS ECOSISTÉMICOS</t>
  </si>
  <si>
    <t>3.1 RESTAURACIÓN DE ECOSISTEMAS Y ÁREAS DEGRADADAS</t>
  </si>
  <si>
    <t>3.1.1 Restauración, protección y conservación de áreas estratégicas para la regulación hídrica</t>
  </si>
  <si>
    <t>3.1.2 Establecimiento y mantenimiento de árboles en el departamento</t>
  </si>
  <si>
    <t>3.2 RECUPERACIÓN Y PROTECCIÓN DE ESPECIES</t>
  </si>
  <si>
    <t>3.2.1 Atención, Valoración y Rehabilitacion de Fauna Silvestre continental y marina</t>
  </si>
  <si>
    <t>3.2.2 Implementar acciones para fortalecimiento del Centro de Atención y Valoración de Fauna Silvestre y el Centro de Atención, Valoración y Rehabilitación de la fauna silvestre marina del Magdalena- CAVR</t>
  </si>
  <si>
    <t>3.2.3 Apoyar la implementación de viveros forestales regionales</t>
  </si>
  <si>
    <t xml:space="preserve">3.2.4 Implementación de medidas de conservación y de manejo a especies amenazadas </t>
  </si>
  <si>
    <t>3.2.5 Implementación de medidas de prevención, control y de manejo a especies invasoras</t>
  </si>
  <si>
    <t>3.3 RECUPERACIÓN, MANTENIMIENTO Y CONSERVACIÓN DE LA CIÉNAGA GRANDE DE SANTA MARTA - CGSM</t>
  </si>
  <si>
    <t xml:space="preserve">3.3.1 Recuperación, conservación y mantenimiento de los caños de la Ciénaga Grande de Santa Marta </t>
  </si>
  <si>
    <t xml:space="preserve">3.3.2 Monitoreo de las condiciones ambientales de la Ciénaga Grande de Santa Marta </t>
  </si>
  <si>
    <t>3.4 ÁREAS PROTEGIDAS Y OTRAS ESTRATEGIAS COMPLEMENTARIAS PARA LA CONSERVACIÓN</t>
  </si>
  <si>
    <t>3.4.1 Implementación de acciones priorizadas en el marco del sistema de áreas protegidas y otras estrategias complementarias para la conservación</t>
  </si>
  <si>
    <t>3.4.2. Implementación de acciones de los Planes de Manejo de las áreas protegidas Regionales</t>
  </si>
  <si>
    <t>3.4.3. Formular el Plan de Manejo del área protegida Distrito Regional de Manejo Integrado Complejo Cenagoso Zapatosa.</t>
  </si>
  <si>
    <t>3.4.4. Formular el Portafolio de áreas prioritarias para la conservación y compensación en la jurisdicción de CORPAMAG</t>
  </si>
  <si>
    <t>PROGRAMA 4. GESTIÓN INTEGRAL DEL RECURSO HIDRICO</t>
  </si>
  <si>
    <t>4.1 PLANIFICACIÓN Y MANEJO DEL RECURSO HÍDRICO</t>
  </si>
  <si>
    <t>4.1.2 Formular Planes de Ordenación y Manejo de Cuencas - POMCA en el departamento</t>
  </si>
  <si>
    <t>4.1.3 Formular Planes de Manejo de Acuíferos - PMA</t>
  </si>
  <si>
    <t>4.1.4 Implementar Planes Operativos de los POMCA adoptados en el departamento</t>
  </si>
  <si>
    <t>4.2 REGULACIÓN DEL USO Y MANEJO DEL RECURSO HÍDRICO</t>
  </si>
  <si>
    <t xml:space="preserve">4.2.1 Control y seguimiento de aguas superficiales y vertimientos en las 14 cuencas con objetivos de calidad  </t>
  </si>
  <si>
    <t>4.2.2 Monitoreo de Control y seguimientos a los objetivos de calidad de aguas marinas.</t>
  </si>
  <si>
    <t>4.2.3 Actualizar censo de usuarios del recurso hidrico (Tasa Retributiva -TR y Tasa por Uso de Agua-TUA)</t>
  </si>
  <si>
    <t xml:space="preserve">4.2.4 Priorizar y reglamentar vertimientos en cuerpos de agua </t>
  </si>
  <si>
    <t>4.2.5 Reglamentar las corrientes priorizadas en el departamento</t>
  </si>
  <si>
    <t>4.2.6 Actualizar objetivos de calidad por tramos en cuerpos de agua priorizados</t>
  </si>
  <si>
    <t>4.2.7 Formulacion de los objetivos de calidad del rio Magdalena</t>
  </si>
  <si>
    <t>4.2.8 Fortalecimiento en el manejo  y disposicion de vertimientos a traves del acompañamiento a los diferentes sectores productivos del programa tasa retributiva</t>
  </si>
  <si>
    <t>4.2.9 Apoyo para la implementación de plantas de tratamiento de aguas residuales en el departamento del Magdalena</t>
  </si>
  <si>
    <t>4.2.10 Gestionar la implementación de un laboratorio de Calidad del Agua</t>
  </si>
  <si>
    <t>PROGRAMA 5. GESTIÓN DE LA INFORMACIÓN Y EL CONOCIMIENTO AMBIENTAL</t>
  </si>
  <si>
    <t>5.1 FORTALECIMIENTO DEL SISTEMA DE INFORMACIÓN AMBIENTAL REGIONAL (SIAR)</t>
  </si>
  <si>
    <t>5.1.1 Fortalecer la gestión de información ambiental de los recursos naturales</t>
  </si>
  <si>
    <t>5.1.2 Fortalecer Sistema de Información Geográfico y Geovisor</t>
  </si>
  <si>
    <t>5.1.3 Reporte de la información en el SIAC</t>
  </si>
  <si>
    <t>5.1.4 Actualizar línea base de información ambiental corporativo para reportar al Sistema de Información Ambiental de Colombia SIAC y a los demás sistemas de información del territorio</t>
  </si>
  <si>
    <t>PROGRAMA 6. ORDENAMIENTO AMBIENTAL TERRITORIAL</t>
  </si>
  <si>
    <t xml:space="preserve">6.1.2 Asesorar a los entes territoriales para la incorporación de las Determinantes y Asuntos ambientales en sus Instrumentos de Planificación Territorial </t>
  </si>
  <si>
    <t>6.2 FORMULACIÓN DE INSTRUMENTOS DE ORDENAMIENTO Y/O MANEJO AMBIENTAL</t>
  </si>
  <si>
    <t>6.1 INCORPORACIÓN DE LA DIMENSIÓN AMBIENTAL EN INSTRUMENTOS DE PLANIFICACIÓN DEL DEPARTAMENTO</t>
  </si>
  <si>
    <t>6.2.1 Formular el plan de manejo del manglar en la jurisdicción de CORPAMAG</t>
  </si>
  <si>
    <t>6.2.2 Formulación del Plan de Ordenación Forestal Parcial en el departamento del Magdalena</t>
  </si>
  <si>
    <t>6.2.3 Formular y/o actualizar Planes de Manejo Ecosistemas estratégicos (humedales y páramo)</t>
  </si>
  <si>
    <t>6.2.4 Elaborar estudio de estructura ecológica para el departamento del Magdalena</t>
  </si>
  <si>
    <t>6.2.5  Realizar estudio para el acotamiento de rondas hídricas en cuerpos de agua priorizados</t>
  </si>
  <si>
    <t>6.3 GENERACIÓN DE CONOCIMIENTO PARA LA PREVENCIÓN DEL RIESGO</t>
  </si>
  <si>
    <t>6.3.1 Elaborar estudios de amenaza, vulnerabilidad y riesgo en el departamento</t>
  </si>
  <si>
    <t>6.3.2 Implementar acciones en torno a la estrategia de corresponsabilidad y lineamientos para la prevención de incendios forestales.</t>
  </si>
  <si>
    <t>6.3.3 Transferir conocimiento a los entes territoriales sobre gestión ambiental, gestión del riesgo y cambio climático para la toma de decisiones en sus instrumentos de planificación y gestión ambiental en sus territorios.</t>
  </si>
  <si>
    <t>6.4 IMPLEMENTACIÓN DE ACCIONES PARA LA REDUCCIÓN DEL RIESGO</t>
  </si>
  <si>
    <t>6.4.1 Obras de recuperación de humedales y cuerpos de agua para la mitigación del riesgo</t>
  </si>
  <si>
    <t>6.4.2 Formular proyectos para la gestión del riesgo en el departamento del Magdalena</t>
  </si>
  <si>
    <t>PROGRAMA 7. GESTIÓN DEL CAMBIO CLIMÁTICO PARA UN DESARROLLO BAJO EN CARBONO Y RESILIENTE AL CLIMA</t>
  </si>
  <si>
    <t>7.1 IMPLEMENTACIÓN DE LINEAMIENTOS PARA EL CAMBIO CLIMÁTICO</t>
  </si>
  <si>
    <t>7.1.1 Implementar iniciativas de cambio climático en el marco del Plan Integral de Gestión del Cambio Climático Territorial Magdalena</t>
  </si>
  <si>
    <t>7.1.2 Implementar piloto sobre metodología de Evaluación de Daños y Análisis de Necesidades Ambientales - EDANA</t>
  </si>
  <si>
    <t>7.1.3 Implementar iniciativa piloto de carbono azul para el uso sostenible de los manglares como medida de mitigación de Gases Efecto Invernadero - GEI</t>
  </si>
  <si>
    <t>7.2 IMPLEMENTACIÓN DE ESTRATEGIAS PARA ADAPTACIÓN AL CAMBIO CLIMÁTICO</t>
  </si>
  <si>
    <t>7.2.1 Implementar estufas eficientes para cocción con leña y huertos leñeros</t>
  </si>
  <si>
    <t>7.2.2 Implementar sistemas Agroforestales y/o Silvopastoriles en áreas priorizadas.</t>
  </si>
  <si>
    <t xml:space="preserve">PROGRAMA 8. GESTIÓN INTEGRAL DE MARES, COSTAS Y RECURSOS ACUÁTICOS  </t>
  </si>
  <si>
    <t xml:space="preserve">8.1 ORDENAMIENTO Y MANEJO INTEGRAL DEL TERRITORIO MARINO COSTERO </t>
  </si>
  <si>
    <t>8.1.1 Implementar acciones en los Planes de Ordenación y Manejo Integrado de Unidades Ambientales Costeras - POMIUAC.</t>
  </si>
  <si>
    <t>8.1.2 Implementar medidas de adaptación basadas en ecosistemas para mitigar la erosión costera.</t>
  </si>
  <si>
    <t>8.2 SOSTENIBILIDAD DE LOS SERVICIOS ECOSISTÉMICOS MARINOS Y COSTEROS</t>
  </si>
  <si>
    <t>8.2.1 Elaboración de estudios base para la zonificación y ordenación de pastos marinos en el departamento</t>
  </si>
  <si>
    <t xml:space="preserve">PROGRAMA 9. FORTALECIMIENTO DE LA GESTIÓN Y DIRECCIÓN DEL SECTOR AMBIENTE Y DESARROLLO SOSTENIBLE </t>
  </si>
  <si>
    <t>9.1 USO Y APROVECHAMIENTO DE LAS TECNOLOGÍAS DE LA INFORMACIÓN Y LAS COMUNICACIONES</t>
  </si>
  <si>
    <t xml:space="preserve">9.1.2 Implementación y fortalecimiento de los Sistemas de Información Administrativos y de Gestión Ambiental </t>
  </si>
  <si>
    <t xml:space="preserve">9.1.3 Implementación de lineamientos para la Seguridad y Privacidad de la información </t>
  </si>
  <si>
    <t>9.1.4 Implementación de Servicios Ciudadanos Digitales</t>
  </si>
  <si>
    <t xml:space="preserve">9.2 FORTALECIMIENTO DE LA GESTIÓN INSTITUCIONAL </t>
  </si>
  <si>
    <t xml:space="preserve">9.2.1 Generación de valor público a través del fortalecimiento del Sistema de Gestión </t>
  </si>
  <si>
    <t>9.2.2 Diagnostico para la implementación del Sistema de Gestión Ambiental bajo la Norma ISO 14001</t>
  </si>
  <si>
    <t>9.2.3 Acreditación del Componente de Calidad del Aire del Laboratorio Ambiental a través de la Norma ISO 17025</t>
  </si>
  <si>
    <t>9.2.4 Formulación e implementación del Plan Anticorrupción</t>
  </si>
  <si>
    <t xml:space="preserve">9.2.5 Cumplimiento Índice de Evaluación del Desempeño Institucional-IEDI de las CAR </t>
  </si>
  <si>
    <t>9.2.6 Fortalecimiento de la estructura física, tecnológica y modernización institucional</t>
  </si>
  <si>
    <t xml:space="preserve">9.3 GESTIÓN DE LAS COMUNICACIONALES </t>
  </si>
  <si>
    <t>9.3.1 Elaborar e implementar Plan de comunicaciones y Plan de medios</t>
  </si>
  <si>
    <t xml:space="preserve">9.3.2 Construcción y divulgación de herramientas comunicacionales que contribuyan a la difusión de la gestión </t>
  </si>
  <si>
    <t>9.3.3 Desarrollo y puesta en marcha de estrategias de promoción para la difusión de mensajes de conservación y protección ambiental</t>
  </si>
  <si>
    <t>9.3.4 Implementación de acciones con publicos objetivos para fortalecer el conocimiento ambiental y sobre las funciones de la Corporación a través de estrategias comunicacionales</t>
  </si>
  <si>
    <t>9.4 GESTIÓN DEL TALENTO HUMANO</t>
  </si>
  <si>
    <t>9.4.1 Formulación y ejecución del Plan de previsión de los recursos humanos</t>
  </si>
  <si>
    <t>9.4.2 Formulación y ejecución del Plan estratégico de Talento Humano</t>
  </si>
  <si>
    <t>9.4.3 Formulación y ejecución del Plan anual de vacantes</t>
  </si>
  <si>
    <t>9.4.4 Formulación y ejecución del Plan anual de capacitaciones</t>
  </si>
  <si>
    <t>9.4.5 Formulación y ejecución del Plan de Bienestar Social Laboral</t>
  </si>
  <si>
    <t>9.4.6 Formulación y ejecución del Plan de trabajo anual de seguridad y salud en el trabajo</t>
  </si>
  <si>
    <t>9.4.7 Diseño e implementación del Plan de gestión del conocimiento e innovación</t>
  </si>
  <si>
    <t>9.4.8 Implementación del código de integridad</t>
  </si>
  <si>
    <t>Número CIDEA fortalecidos</t>
  </si>
  <si>
    <t>Número PRAE asesorados y/ o apoyados</t>
  </si>
  <si>
    <t>Número PROCEDA implementados y/o asesorados</t>
  </si>
  <si>
    <t>Número Entes territoriales asesorados</t>
  </si>
  <si>
    <t>Número Acciones implementadas</t>
  </si>
  <si>
    <t xml:space="preserve">Número Personas capacitadas </t>
  </si>
  <si>
    <t>Número Lideres ambientales identificados y fortalecidos</t>
  </si>
  <si>
    <t>Número Campañas implementadas</t>
  </si>
  <si>
    <t>Número Negocios verdes verificados</t>
  </si>
  <si>
    <t>Porcentaje Plan departamental de negocios verdes  implementado</t>
  </si>
  <si>
    <t xml:space="preserve">Número Plan departamental de negocios verdes formulado </t>
  </si>
  <si>
    <t>Porcentaje Plan de marketing implementado</t>
  </si>
  <si>
    <t>Número Transferencias metodológicas realizadas</t>
  </si>
  <si>
    <t>Número Alianzas estratégicas definidas</t>
  </si>
  <si>
    <t>Porcentaje Ventanilla de negocios verdes reestructurada</t>
  </si>
  <si>
    <t>Número Sectores productivos con acompañamiento anual</t>
  </si>
  <si>
    <t>Número Participación Agenda Departamental Economía Circular</t>
  </si>
  <si>
    <t>Porcentaje Control y seguimiento realizado a generadores de RESPEL</t>
  </si>
  <si>
    <t>Porcentaje Documento implementado</t>
  </si>
  <si>
    <t>Porcentaje Documento elaborado</t>
  </si>
  <si>
    <t>Porcentaje Control y seguimiento realizado a generadores de PCB</t>
  </si>
  <si>
    <t>PorcentajePlanes de Saneamiento y Manejo de Vertimientos (PSMV) con seguimiento</t>
  </si>
  <si>
    <t>Porcentaje Tiempo promedio de trámite para la resolución de autorizaciones ambientales otorgadas por la corporación</t>
  </si>
  <si>
    <t>Porcentaje Autorizaciones ambientales con seguimiento</t>
  </si>
  <si>
    <t>Porcentaje Programas de Uso Eficiente y Ahorro del Agua (PUEAA) con seguimiento</t>
  </si>
  <si>
    <t>Porcentaje Planes de Gestión Integral de Residuos Sólidos (PGIRS) con seguimiento</t>
  </si>
  <si>
    <t>Número Alianzas implementadas</t>
  </si>
  <si>
    <t>Número Redes y estaciones de monitoreo en operación</t>
  </si>
  <si>
    <t>Número Operativos de Control y seguimiento a niveles de ruido</t>
  </si>
  <si>
    <t>Porcentaje Puntos de monitoreo del Sistemas de Vigilancia y Calidad del Aire con cumplimiento normativo</t>
  </si>
  <si>
    <t xml:space="preserve">Número Árboles sembrados  </t>
  </si>
  <si>
    <t xml:space="preserve">Hectáreas Áreas de ecosistemas en restauración, rehabilitación y reforestación </t>
  </si>
  <si>
    <t>Número Viveros forestales regionales apoyados</t>
  </si>
  <si>
    <t xml:space="preserve">Porcentaje Especies amenazadas con medidas de conservación y manejo </t>
  </si>
  <si>
    <t xml:space="preserve">Porcentaje Especies invasoras con medidas de prevención, control y manejo </t>
  </si>
  <si>
    <t>Porcentaje Atención y valoración de la fauna recibida</t>
  </si>
  <si>
    <t>Número Acciones realizadas</t>
  </si>
  <si>
    <t>Número Monitoreos anuales realizados</t>
  </si>
  <si>
    <t>Número Plan de Manejo formulado</t>
  </si>
  <si>
    <t>Número Documento elaborado</t>
  </si>
  <si>
    <t xml:space="preserve">Número Cuerpos de agua priorizados para planes de ordenamiento del recurso hídrico (PORH)  </t>
  </si>
  <si>
    <t xml:space="preserve">Número Cuerpos de agua con planes de ordenamiento del recurso hídrico (PORH) adoptados </t>
  </si>
  <si>
    <t xml:space="preserve">Porcentaje Formulación y/o ajuste de los Planes de Ordenación y Manejo de Cuencas (POMCAS), Planes de Manejo de Acuíferos (PMA) y Planes de Manejo de Microcuencas (PMM) </t>
  </si>
  <si>
    <t xml:space="preserve">Porcentaje Planes de Ordenación y Manejo de Cuencas (POMCAS), Planes de Manejo de Acuíferos (PMA) y Planes de Manejo de Microcuencas (PMM) en ejecución </t>
  </si>
  <si>
    <t>4.1.5 Conformar plataforma colaborativa para la articulación de acciones público-privada alrededor de las cuencas hidrográficas</t>
  </si>
  <si>
    <t>Número Plataformas colaborativas conformadas</t>
  </si>
  <si>
    <t>Número Corrientes Monitoreadas anualmente</t>
  </si>
  <si>
    <t>Número Censo  actualizado de usuarios</t>
  </si>
  <si>
    <t>Número Corrientes reglamentadas</t>
  </si>
  <si>
    <t>Número Objetivos de calidad actualizados</t>
  </si>
  <si>
    <t>Número Objetivos de calidad formulados</t>
  </si>
  <si>
    <t>Número Proyecto formulado</t>
  </si>
  <si>
    <t>Número Obras de saneamiento hídrico asesorada</t>
  </si>
  <si>
    <t>Número Sectores productivos con acompañamiento técnico</t>
  </si>
  <si>
    <t xml:space="preserve">Porcentaje Cuerpos de agua con vertimientos reglamentados </t>
  </si>
  <si>
    <t>Número Cuerpos de agua con vertimientos priorizados</t>
  </si>
  <si>
    <t>Número Módulos SIAR implementados</t>
  </si>
  <si>
    <t>Porcentaje Línea Base de Información Ambiental Corporativa actualizada</t>
  </si>
  <si>
    <t>Porcentaje Sistema geográfico y geovisor fortalecido</t>
  </si>
  <si>
    <t>Porcentaje Actualización y reporte de la información en el SIAC</t>
  </si>
  <si>
    <t>Número Documento Determinantes ambientales adoptados</t>
  </si>
  <si>
    <t>Porcentaje Documento Determinantes ambientales actualizados</t>
  </si>
  <si>
    <t>Porcentaje Plan de Ordenación Forestal formulado</t>
  </si>
  <si>
    <t>Número Planes de Manejo de ecosistemas estratégicos formulados</t>
  </si>
  <si>
    <t>Número Plan de Manejo de manglar formulado</t>
  </si>
  <si>
    <t>Número Obras ejecutadas</t>
  </si>
  <si>
    <t>Número Proyectos formulados</t>
  </si>
  <si>
    <t>Número Metodología de Evaluación de Daños y Análisis de Necesidades Ambientales Implementada</t>
  </si>
  <si>
    <t>Número Iniciativas de carbono azul en implementación</t>
  </si>
  <si>
    <t>Número Estufas eficientes para cocción con leña y huertos leñeros implementadas</t>
  </si>
  <si>
    <t>Número Sistemas agroforestales implementados</t>
  </si>
  <si>
    <t>Porcentaje Estrategias implementadas</t>
  </si>
  <si>
    <t>Número Plan Formulado</t>
  </si>
  <si>
    <t>Porcentaje Plan Implementado</t>
  </si>
  <si>
    <t>Porcentaje Sistemas de información implementados y fortalecidos</t>
  </si>
  <si>
    <t>Porcentaje Servicios Ciudadanos Digitales implementados</t>
  </si>
  <si>
    <t>Porcentaje Sistema de gestión fortalecido</t>
  </si>
  <si>
    <t xml:space="preserve">Número Diagnóstico realizado </t>
  </si>
  <si>
    <t>Porcentaje Plan formulado e implementado</t>
  </si>
  <si>
    <t>Porcentaje Cumplimiento del IEDI</t>
  </si>
  <si>
    <t>Porcentaje Estructura física y tecnológica fortalecida</t>
  </si>
  <si>
    <t>Número Estrategia formulada e implementada</t>
  </si>
  <si>
    <t>Porcentaje Plan de comunicaciones y Plan de medios formulado e implementado</t>
  </si>
  <si>
    <t>Porcentaje Código de integridad implementado</t>
  </si>
  <si>
    <t>INVERSION - PLAN DE ACCIÓN CORPORATIVO AMBIENTAL 2016-2019 - VIGENCIA 2020</t>
  </si>
  <si>
    <t>Número Diálogo de saberes implementados</t>
  </si>
  <si>
    <t>Número Proyectos implementados</t>
  </si>
  <si>
    <t>% avance de las Metas del Proyecto</t>
  </si>
  <si>
    <t>PASIVO VIGENCIAS EXPIRADAS -INVERSIÓN</t>
  </si>
  <si>
    <t>2020-II</t>
  </si>
  <si>
    <t>2021-I</t>
  </si>
  <si>
    <t>2021-II</t>
  </si>
  <si>
    <t>2022-I</t>
  </si>
  <si>
    <t>2022-II</t>
  </si>
  <si>
    <t>2023-I</t>
  </si>
  <si>
    <t>2023-II</t>
  </si>
  <si>
    <t>2.10 Restauración hidráulica y ambiental de tributarios del sector occidental de la CGSM en el Departamento del Magdalena.</t>
  </si>
  <si>
    <t>2.11 Restauración del Caño Hondo como aporte a la recuperación del ecosistema de la CGSM en el Departamento del Magdalena.</t>
  </si>
  <si>
    <t>2.12 Restauración ambiental del caño Martinica como aporte a la recuperación del ecosistema de la  CGSM en el Departamento del Magdalena.</t>
  </si>
  <si>
    <t>Programa 1 EDUCACION AMBIENTAL</t>
  </si>
  <si>
    <t>Proyecto 1.1. Implementación de la política de educación ambiental</t>
  </si>
  <si>
    <t>Proyecto 1.2. Implementación de estrategias de participación y cultura ambiental</t>
  </si>
  <si>
    <t>Programa 2 FORTALECIMIENTO DEL DESEMPEÑO AMBIENTAL DE LOS SECTORES PRODUCTIVOS</t>
  </si>
  <si>
    <t>Proyecto 2.1. Fortalecimiento del programa regional de negocios verdes.</t>
  </si>
  <si>
    <t>Proyecto 2.2. Implementación de estrategias para la sostenibilidad ambiental de la Ciénaga Grande de Santa Marta.</t>
  </si>
  <si>
    <t>Proyecto 2.3 Implementación de la política ambiental para la gestión integral de residuos o desechos peligrosos.</t>
  </si>
  <si>
    <t>2.4 Autoridad ambiental y administración de los recursos naturales.</t>
  </si>
  <si>
    <t>2.6 Gestión integral de la calidad del aire.</t>
  </si>
  <si>
    <t>3.1 Restauración de ecosistemas y áreas degradadas.</t>
  </si>
  <si>
    <t>3.2 Recuperación y protección de especies.</t>
  </si>
  <si>
    <t>3.3 Recuperación, mantenimiento y conservación de la Ciénaga Grande de Santa Marta - CGSM.</t>
  </si>
  <si>
    <t>3.4 Áreas protegidas y otras estrategías complementarias para la conservación.</t>
  </si>
  <si>
    <t>4.1 Planificación y manejo del recurso hídrico.</t>
  </si>
  <si>
    <t>4.2 Regulación del uso y manejo del recurso hídrico.</t>
  </si>
  <si>
    <t>5.1 Fortalecimiento del sistema de información ambiental regional (SIAR).</t>
  </si>
  <si>
    <t>6.2 Formulación de instrumentos de ordenamiento y/o manejo ambiental.</t>
  </si>
  <si>
    <t xml:space="preserve">6.3 Generación de conocimiento para la prevención del riesgo. </t>
  </si>
  <si>
    <t xml:space="preserve">6.4 Implementación de acciones para la reducción del riesgo. </t>
  </si>
  <si>
    <t>PROGRAMA 7. GESTIÓN DEL CAMBIO CLIMATÍCO PARA UN DESARROLLO BAJO EN CARBONO Y RESILIENTE AL CLIMA</t>
  </si>
  <si>
    <t xml:space="preserve">7.2 Implementación de estrategias para adaptación al cambio climático. </t>
  </si>
  <si>
    <t>8.1 Ordenamiento y manejo integral del terriorio marino costero.</t>
  </si>
  <si>
    <t>9.1 Uso y aprovechamiento de las tecnologías de la información y las comunicaciones.</t>
  </si>
  <si>
    <t xml:space="preserve">9.2 Fortalecimiento de la gestión institucional. </t>
  </si>
  <si>
    <t>6, 8, 12, 13, 14, 15.</t>
  </si>
  <si>
    <t>6, 12, 13, 14, 15.</t>
  </si>
  <si>
    <t>6, 14.</t>
  </si>
  <si>
    <t>13, 15.</t>
  </si>
  <si>
    <t>13, 14.</t>
  </si>
  <si>
    <t>6, 8, 12.</t>
  </si>
  <si>
    <t>SZH-2804</t>
  </si>
  <si>
    <t>Río Ariguani</t>
  </si>
  <si>
    <t>SAC1.11</t>
  </si>
  <si>
    <t>Santa Marta</t>
  </si>
  <si>
    <t>Procesos formales previos</t>
  </si>
  <si>
    <t>Corporación Autonoma Regional del Magdalena - CORPAMAG</t>
  </si>
  <si>
    <t>Oficina de Planeación</t>
  </si>
  <si>
    <t>Av Libertador N° 32-201</t>
  </si>
  <si>
    <t>Luis Sepulveda Diaz</t>
  </si>
  <si>
    <t>lsepulveda@corpamag.gov.co</t>
  </si>
  <si>
    <t>Subdirección de Gestión Ambiental</t>
  </si>
  <si>
    <t>Alfredo Martinez</t>
  </si>
  <si>
    <t>Subdirector</t>
  </si>
  <si>
    <t>amartinez@corpamag.gov.co</t>
  </si>
  <si>
    <t>Maria Danies Silva</t>
  </si>
  <si>
    <t>mdanies@corpamag.gov.co</t>
  </si>
  <si>
    <t>Genexy Troncoso Castro</t>
  </si>
  <si>
    <t>genexy.troncoso@corpamag.gov.co</t>
  </si>
  <si>
    <t>Oficina del Laboratorio Ambiental</t>
  </si>
  <si>
    <t xml:space="preserve">Jorge Hani </t>
  </si>
  <si>
    <t>jhani@corpamag.gov.co</t>
  </si>
  <si>
    <t>Hilka Camargo</t>
  </si>
  <si>
    <t>Profesional Universitario</t>
  </si>
  <si>
    <t>hcamargo@corpamag.gov.co</t>
  </si>
  <si>
    <t>Subdirección de educación Ambiental</t>
  </si>
  <si>
    <t>Salua Villegas</t>
  </si>
  <si>
    <t>svillegas@corpamag.gov.co</t>
  </si>
  <si>
    <t>ÁREAS PROTEGIDAS Y OTRAS ESTRATEGIAS COMPLEMENTARIAS PARA LA CONSERVACIÓN</t>
  </si>
  <si>
    <t>Año 0 (2019) (*)</t>
  </si>
  <si>
    <t>IMPLEMENTACIÓN DE LA POLÍTICA DE EDUCACIÓN AMBIENTAL</t>
  </si>
  <si>
    <t>IMPLEMENTACIÓN DE ESTRATEGIAS DE PARTICIPACIÓN Y CULTURA AMBIENTAL</t>
  </si>
  <si>
    <t xml:space="preserve">Asesorar a los entes territoriales para la incorporación de las Determinantes y Asuntos ambientales en sus Instrumentos de Planificación Territorial </t>
  </si>
  <si>
    <t>Transferir conocimiento a los entes territoriales sobre gestión ambiental, gestión del riesgo y cambio climático para la toma de decisiones en sus instrumentos de planificación y gestión ambiental en sus territorios.</t>
  </si>
  <si>
    <t>FORTALECIMIENTO DEL PROGRAMA REGIONAL DE NEGOCIOS VERDES</t>
  </si>
  <si>
    <t>Restructuración de la ventanilla y consolidación del Nodo de Negocios Verdes</t>
  </si>
  <si>
    <t>Fomentar los emprendimientos verdes e inclusivos dentro del territorio regional</t>
  </si>
  <si>
    <t>Implementar acciones de verificación de negocios verdes</t>
  </si>
  <si>
    <t>Implementación del Plan de marketing territorial</t>
  </si>
  <si>
    <t>Acuerdo de Consejo Directivo No. 14 del 28 de Mayo de 2020</t>
  </si>
  <si>
    <t>Realización de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</si>
  <si>
    <t>Monitoreo de la calidad del aire en la zona de influencia de los puertos exportadores de carbón ubicados en la zona costera del departamento de Magdalena entre el distrito de Santa Marta y el municipio de Ciénaga.</t>
  </si>
  <si>
    <t>Fortalecer las mesas regionales de calidad del aire donde se establezca la articulación entre las diferentes
entidades relacionadas con la prevención y el control de la contaminación del aire.</t>
  </si>
  <si>
    <t>Participación en gestión ambiental urbana</t>
  </si>
  <si>
    <t>Autoridad Ambiental y Administración de los Recursos Naturales</t>
  </si>
  <si>
    <t>Gestión Integral de la Calidad del Aire</t>
  </si>
  <si>
    <t>Implementación de la Política Ambiental para la Gestión Integral de Residuos o Desechos Peligrosos</t>
  </si>
  <si>
    <t xml:space="preserve">Participación activa en el Comité Territorial de Salud Ambiental – COTSA, liderado por la Secretaría Departamental de Salud.
</t>
  </si>
  <si>
    <t>Implementar acciones en los Planes de Ordenación y Manejo Integrado de Unidades Ambientales Costeras - POMIUAC</t>
  </si>
  <si>
    <t>Implementar medidas de adaptación basadas en ecosistemas para mitigar la erosión costera</t>
  </si>
  <si>
    <t>Implementación de alianzas interinstitucionales para el ejercicio de la autoridad ambiental</t>
  </si>
  <si>
    <t xml:space="preserve"> Atención, Valoración y Rehabilitacion de Fauna Silvestre continental y marina</t>
  </si>
  <si>
    <t>Se participa en la Implementación de los Planes de Manejo de Unidades Ambientales Costeras: Unidad Ambiental Costera Vertiente Norte de la Sierra Nevada de Santa Marta (UAC VNSNSM) y Unidad Ambiental Costera Río Magdalena, complejo Canal del Dique-Sistema Lagunar de la Ciénaga Grande de Santa Marta</t>
  </si>
  <si>
    <t>Alianza entre Corpamag y la Estación de Guardacostas, con el objeto de fortalecer la protección y conservación de los recursos naturales renovables de los ecosistemas marinos y costeros, en el departamento del Magdalena</t>
  </si>
  <si>
    <t>Alianza entre Corpamag y el Acuario de el Rodadero, para acciones conjuntas de conservación, sensibilización y educación ambiental en la zona costera del departamento.</t>
  </si>
  <si>
    <t>Participación con el Ministerio de Ambiente y Desarrollo Sostenible y el Banco de Desarrollo- KfW, en el marco del proyecto de Cooperación con el Gobierno de Alemania denominado “Adaptación Basada en los Ecosistemas para la Protección contra la Erosión Costera en un Clima Cambiante”,</t>
  </si>
  <si>
    <t xml:space="preserve">Se efectua anualmente, convenio con el INVEMAR con el fin de aunar esfuerzos, recursos técnicos y económicos para realizar de manera coordinada acciones interinstitucionales en la zona costera del departamento del Magdalena, relacionadas con la calidad ambiental de la CGSM, el programa de monitoreo de la REDCAM y hacer seguimiento a las condiciones ambientales que sirvan de soporte técnico para atender diferentes tipos de emergencias ambientales </t>
  </si>
  <si>
    <t>Distrito Regional de Manejo Integrado – DRMI Complejo Cenagoso de Zapatosa</t>
  </si>
  <si>
    <t>Continental</t>
  </si>
  <si>
    <t>DRMI</t>
  </si>
  <si>
    <t>Declarado</t>
  </si>
  <si>
    <t>Acuerdo número 001 de 2019, por el cual se declara, reserva, delimita y alindera el área protegida denominada Distrito Regional de Manejo Integrado (DRMI) Complejo Cenagoso de Zapatosa CCZ en los municipios de Chimichagua, Tamalameque, Curumaní y Chiriguaná en el departamento del Cesar y El Banco en el departamento del Magdalena, en jurisdicción de la Corporación Autónoma Regional del Cesar (Corpocesar) y la Corporación Autónoma Regional del Magdalena (Corpamag)</t>
  </si>
  <si>
    <t>Resolución N° 1404 de 2018</t>
  </si>
  <si>
    <t>T C.A.S. Tiempo efectivo de duración del trámite de otorgamiento de una concesión de agua (número de días)</t>
  </si>
  <si>
    <t>Red 1</t>
  </si>
  <si>
    <t xml:space="preserve">Pescaito </t>
  </si>
  <si>
    <t>Marina Santa Marta</t>
  </si>
  <si>
    <t>Aeropuerto</t>
  </si>
  <si>
    <t>Don Jaca</t>
  </si>
  <si>
    <t>Alcatraces</t>
  </si>
  <si>
    <t>Costa Verde</t>
  </si>
  <si>
    <t>Playitas</t>
  </si>
  <si>
    <t>Jolonura</t>
  </si>
  <si>
    <t>Cordobita</t>
  </si>
  <si>
    <t xml:space="preserve">11°14'59.6'' N                             74°12'24.8 W             </t>
  </si>
  <si>
    <t xml:space="preserve">11°14'25.1'' N                             74°13'00.1 W             </t>
  </si>
  <si>
    <t xml:space="preserve">11°07'16.3'' N                             74°13'53.3 W             </t>
  </si>
  <si>
    <t xml:space="preserve">11°05'54.7'' N                             74°13'07.6 W             </t>
  </si>
  <si>
    <t xml:space="preserve">11°05'08.9'' N                             74°13'02.8 W             </t>
  </si>
  <si>
    <t xml:space="preserve">11°01'19.0'' N                             74°14'47.0 W             </t>
  </si>
  <si>
    <t xml:space="preserve">11°02'49.3''N
74°13'53.9" W
</t>
  </si>
  <si>
    <t xml:space="preserve">11°02'46.9'' N
74°11'42.1 W             
</t>
  </si>
  <si>
    <t xml:space="preserve">11°01'26.9'' N  
74°12'11.8 W   
</t>
  </si>
  <si>
    <t>Cortes en el fluido electrico</t>
  </si>
  <si>
    <t>Daño en el equipo</t>
  </si>
  <si>
    <t>Brindar acompañamiento a los sectores productivos en la gestión de residuos Posconsumo</t>
  </si>
  <si>
    <t>Centro de Atención, Valoración y Rehabilitación de Fauna marina- CAV-R marino. Suscripción de alianza interinstitucional para atención y disposición final de animales marinos</t>
  </si>
  <si>
    <t>Marino</t>
  </si>
  <si>
    <t>Fauna</t>
  </si>
  <si>
    <t>Proyecto 3.1 RESTAURACIÓN DE ECOSISTEMAS Y ÁREAS DEGRADADAS, Actividad 3.1.1 Restauración, protección y conservación de áreas estratégicas para la regulación hídrica</t>
  </si>
  <si>
    <t>Este IMG de GAU, esta inmerso en acciones de varios proyectos de inversión del PAI 2020-2023, y al ser una lista desplegable no es posible seleccionar mas de un IMG en el Anexo 1 Matriz de Gestión</t>
  </si>
  <si>
    <t xml:space="preserve">(5)
PORCENTAJE DE AVANCE 
FISICO %
(Periodo Evaluado)
((4/3)*100)
2020
</t>
  </si>
  <si>
    <t xml:space="preserve">(3)                                      
META FISICA ANUAL
(Según unidad de medida)
</t>
  </si>
  <si>
    <t>(4)
AVANCE DE LA META FISICA
(Según unidad de medida y Periodo Evaluado)</t>
  </si>
  <si>
    <t>INVERSION - PAI REGALIAS 2020-2023</t>
  </si>
  <si>
    <t>Ingresos Recursos Propios</t>
  </si>
  <si>
    <t>Contribución sector eléctrico - Generadores de energía convencional</t>
  </si>
  <si>
    <t>Contribución sector eléctrico - Generadores de energía no convencional</t>
  </si>
  <si>
    <t>Tasa compensatoria por caza de fauna silvestre</t>
  </si>
  <si>
    <t>Tasa Compensatoria por la utilización permanente de la reserva forestal protectora Bosque Oriental de Bogotá</t>
  </si>
  <si>
    <t>Evaluación de licencias y trámites ambientales</t>
  </si>
  <si>
    <t>Seguimiento a licencias y trámites ambientales</t>
  </si>
  <si>
    <t>Servicios de alojamiento; servicios de suministro de comidas y bebidas; servicios de transporte; y servicios de distribución de electricidad, gas y agua</t>
  </si>
  <si>
    <t>Servicios financieros y servicios conexos, servicios inmobiliarios y servicios de leasing</t>
  </si>
  <si>
    <t>Participaciones distintas del SGP</t>
  </si>
  <si>
    <t>Participación en impuestos</t>
  </si>
  <si>
    <t>Participación ambiental en el porcentaje de recaudo del impuesto predial</t>
  </si>
  <si>
    <t>Participación en multas, sanciones e intereses de mora</t>
  </si>
  <si>
    <t>Participación de intereses de mora al porcentaje de recaudo del impuesto predial.</t>
  </si>
  <si>
    <t>Disposición de recursos biológicos cultivados</t>
  </si>
  <si>
    <t>Disposición de recursos biológicos no cultivados</t>
  </si>
  <si>
    <t>Dividendos y utilidades por otras inversiones de capital</t>
  </si>
  <si>
    <t>Sociedades de economía mixta</t>
  </si>
  <si>
    <t>Inversiones patrimoniales no controladas</t>
  </si>
  <si>
    <t>Gobiernos</t>
  </si>
  <si>
    <t>Organismos multilaterales</t>
  </si>
  <si>
    <t>Otras instituciones financieras</t>
  </si>
  <si>
    <t>Banca de fomento</t>
  </si>
  <si>
    <t>Otras entidades no financieras</t>
  </si>
  <si>
    <t>De gobiernos extranjeros</t>
  </si>
  <si>
    <t>De organizaciones internacionales</t>
  </si>
  <si>
    <t>Del sector privado</t>
  </si>
  <si>
    <t>Compensaciones de capital</t>
  </si>
  <si>
    <t>Resarcimiento por procesos de gestión fiscal</t>
  </si>
  <si>
    <t>Compensación por daños a la propiedad</t>
  </si>
  <si>
    <t xml:space="preserve">Aportes Presupuesto General de la Nación </t>
  </si>
  <si>
    <t>Aportes Presupuesto General de la Nación - Funcionamiento</t>
  </si>
  <si>
    <t>Aportes Presupuesto General de la Nación - Inversión</t>
  </si>
  <si>
    <t>Aportes Fondo de Compensación Ambiental -FCA</t>
  </si>
  <si>
    <t>Aportes del SPGR para Gastos de personal</t>
  </si>
  <si>
    <t>Aportes del SPGR para Adquisición de bienes y servicios</t>
  </si>
  <si>
    <t>Aportes del SPGR  para Transferencias corrientes</t>
  </si>
  <si>
    <t>2.5 Gestión sostenible del suelo.</t>
  </si>
  <si>
    <t xml:space="preserve">6.1 Incorporacion de la dimnesion ambiental en intrumentos de planificación del departamento </t>
  </si>
  <si>
    <t>8.2 Sostenibilidad de los servicios ecositémicos marinos y costeros</t>
  </si>
  <si>
    <t>Proyecto 2.5 GESTIÓN SOSTENIBLE DEL SUELO, Actividad 2.5.2 Implementar acciones de recuperación y/o rehabilitación de suelos degradados en áreas priorizadas del departamento del Magdalena, Proyecto 3.1 RESTAURACIÓN DE ECOSISTEMAS Y ÁREAS DEGRADADAS, Actividad 3.1.1 Restauración, protección y conservación de áreas estratégicas para la regulación hídrica</t>
  </si>
  <si>
    <t>Proyecto 4.1 PLANIFICACIÓN Y MANEJO DEL RECURSO HÍDRICO, Actividad 4.1.2 Formular Planes de Ordenación y Manejo de Cuencas - POMCA en el departamento</t>
  </si>
  <si>
    <t>Proyecto 4.1 PLANIFICACIÓN Y MANEJO DEL RECURSO HÍDRICO, Actividad 4.1.1 Formular y adoptar Planes de Ordenamiento del Recurso Hídrico - PORH en corrientes priorizadas del departamento</t>
  </si>
  <si>
    <t>Proyecto 2.4 AUTORIDAD AMBIENTAL Y ADMINISTRACIÓN DE LOS RECURSOS NATURALES, Actividad 2.4.4. Seguimiento a los PSMV</t>
  </si>
  <si>
    <t>Proyecto 4.2 REGULACIÓN DEL USO Y MANEJO DEL RECURSO HÍDRICO, Actividad 4.2.5 Reglamentar las corrientes priorizadas en el departamento</t>
  </si>
  <si>
    <t>Proyecto 2.4 AUTORIDAD AMBIENTAL Y ADMINISTRACIÓN DE LOS RECURSOS NATURALES, Actividad 2.4.5. Seguimiento a los PUEAA</t>
  </si>
  <si>
    <t>Proyecto 4.1 PLANIFICACIÓN Y MANEJO DEL RECURSO HÍDRICO, Actividad 4.1.4 Implementar Planes Operativos de los POMCA adoptados en el departamento</t>
  </si>
  <si>
    <t xml:space="preserve">Proyecto 6.1 INCORPORACIÓN DE LA DIMENSIÓN AMBIENTAL EN INSTRUMENTOS DE PLANIFICACIÓN DEL DEPARTAMENTO, Actividad 6.1.2 Asesorar a los entes territoriales para la incorporación de las Determinantes y Asuntos ambientales en sus Instrumentos de Planificación Territorial </t>
  </si>
  <si>
    <t>Restauración ambiental del caño Martinica como aporte a la recuperación del ecosistema de la CGSM en el departamento del Magdalena</t>
  </si>
  <si>
    <t>Recuperación</t>
  </si>
  <si>
    <t>Por medio de la cual se delimita el Páramo Sierra Nevada de Santa Marta y se adoptan otras determinaciones.</t>
  </si>
  <si>
    <t>Proyecto 6.2 FORMULACIÓN DE INSTRUMENTOS DE ORDENAMIENTO Y/O MANEJO AMBIENTAL, 6.2.3 Formular y/o actualizar Planes de Manejo Ecosistemas estratégicos (humedales y páramo)</t>
  </si>
  <si>
    <t>Proyecto 6.2 FORMULACIÓN DE INSTRUMENTOS DE ORDENAMIENTO Y/O MANEJO AMBIENTAL, Actividad 6.2.2 Formulación del Plan de Ordenación Forestal Parcial en el departamento del Magdalena</t>
  </si>
  <si>
    <t>Proyecto 3.4 ÁREAS PROTEGIDAS Y OTRAS ESTRATEGIAS COMPLEMENTARIAS PARA LA CONSERVACIÓN, Actividades 3.4.1 Implementación de acciones priorizadas en el marco del sistema de áreas protegidas y otras estrategias complementarias para la conservación y 3.4.2. Implementación de acciones de los Planes de Manejo de las áreas protegidas Regionales</t>
  </si>
  <si>
    <t>Proyecto 3.4 Áreas Protegidas y Otras Estrategias Complementarias para la Conservación</t>
  </si>
  <si>
    <t xml:space="preserve">Proyecto 3.2 RECUPERACIÓN Y PROTECCIÓN DE ESPECIES, Actividad 3.2.4 Implementación de medidas de conservación y de manejo a especies amenazadas </t>
  </si>
  <si>
    <t>Proyecto 3.2 RECUPERACIÓN Y PROTECCIÓN DE ESPECIES, Actividad 3.2.5 Implementación de medidas de prevención, control y de manejo a especies invasoras</t>
  </si>
  <si>
    <r>
      <rPr>
        <i/>
        <sz val="9"/>
        <color rgb="FF000000"/>
        <rFont val="Calibri"/>
        <family val="2"/>
        <scheme val="minor"/>
      </rPr>
      <t>Eretmochelys imbricata</t>
    </r>
    <r>
      <rPr>
        <sz val="9"/>
        <color rgb="FF000000"/>
        <rFont val="Calibri"/>
        <family val="2"/>
        <scheme val="minor"/>
      </rPr>
      <t xml:space="preserve"> (tortuga carey), </t>
    </r>
    <r>
      <rPr>
        <i/>
        <sz val="9"/>
        <color rgb="FF000000"/>
        <rFont val="Calibri"/>
        <family val="2"/>
        <scheme val="minor"/>
      </rPr>
      <t>Caretta caretta</t>
    </r>
    <r>
      <rPr>
        <sz val="9"/>
        <color rgb="FF000000"/>
        <rFont val="Calibri"/>
        <family val="2"/>
        <scheme val="minor"/>
      </rPr>
      <t xml:space="preserve"> (caguama, tortuga cabezona), </t>
    </r>
    <r>
      <rPr>
        <i/>
        <sz val="9"/>
        <color rgb="FF000000"/>
        <rFont val="Calibri"/>
        <family val="2"/>
        <scheme val="minor"/>
      </rPr>
      <t>Chelonia mydas</t>
    </r>
    <r>
      <rPr>
        <sz val="9"/>
        <color rgb="FF000000"/>
        <rFont val="Calibri"/>
        <family val="2"/>
        <scheme val="minor"/>
      </rPr>
      <t xml:space="preserve"> (tortuga verde) y </t>
    </r>
    <r>
      <rPr>
        <i/>
        <sz val="9"/>
        <color rgb="FF000000"/>
        <rFont val="Calibri"/>
        <family val="2"/>
        <scheme val="minor"/>
      </rPr>
      <t>Dermochelys coriácea</t>
    </r>
    <r>
      <rPr>
        <sz val="9"/>
        <color rgb="FF000000"/>
        <rFont val="Calibri"/>
        <family val="2"/>
        <scheme val="minor"/>
      </rPr>
      <t xml:space="preserve"> (tortuga de cuero, canal,caná),  Lepidochelys olivacea (golfina) </t>
    </r>
    <r>
      <rPr>
        <i/>
        <sz val="9"/>
        <color rgb="FF000000"/>
        <rFont val="Calibri"/>
        <family val="2"/>
        <scheme val="minor"/>
      </rPr>
      <t>Sotalia guianensis</t>
    </r>
    <r>
      <rPr>
        <sz val="9"/>
        <color rgb="FF000000"/>
        <rFont val="Calibri"/>
        <family val="2"/>
        <scheme val="minor"/>
      </rPr>
      <t xml:space="preserve"> (Delfin costero) y Tursiups truncatus (delfin nariz de botella)</t>
    </r>
  </si>
  <si>
    <t>en este contrato se aunan esfuerzos entre el Acuario del Rodadero Fospina S.A.S. y la Corporación Autónoma Regional del Magdalena-CORPAMAG para el establecimiento, manejo y operación del centro de atención valoración y rehabilitación de la fauna marina del magdalena- CAVR. En este contexto se realizan rescates a enmayamientos y varamientos, asi como recepciones de decomisos y entregas voluntarias de fauna marina para rehabilitacion y en lo posible recuperacion y liberación de los ejemplares, obteniendo excelentes resultados en el rescate de tortugas marinas principalmente.</t>
  </si>
  <si>
    <t>Mesoclemmys
dahli (tortuga carranchina), Podocnemys lewiana (tortuga de río), Chelonoidis
carbonarius (morrocoy), Trachemys
callirostris (hicotea), Chavarri (Chauna chavarria), Leopardus
tigrinus (tigrillo), Nutria de río (Lontra longicaudis) y Caimán aguja (Crocodylus acatus)</t>
  </si>
  <si>
    <t>Marina</t>
  </si>
  <si>
    <t>Pterois volitans</t>
  </si>
  <si>
    <t xml:space="preserve">Sensibilización y control para el correcto manejo en la recolección de  Caracol Africano en el departamento del Magdalena </t>
  </si>
  <si>
    <t>Achatina fullica</t>
  </si>
  <si>
    <t>Se adelantaron jornadas en diferentes municipios del Magdalena con presencia de Caracol Africano, con la finalidad de educar y sensibilizar sobre la importancia de controlar esta especie. Asimismo, se comunicó sobre el debido manejo para la recolección y disposición final de los ejemplares de la especie invasora recolectados.</t>
  </si>
  <si>
    <t>Proyecto 8.1 ORDENAMIENTO Y MANEJO INTEGRAL DEL TERRITORIO MARINO COSTERO, 8.1.1 Implementar acciones en los Planes de Ordenación y Manejo Integrado de Unidades Ambientales Costeras - POMIUAC</t>
  </si>
  <si>
    <t>Proyecto 2.3 IMPLEMENTACIÓN DE LA POLÍTICA AMBIENTAL PARA LA GESTIÓN INTEGRAL DE RESIDUOS O DESECHOS PELIGROSOS, Actividad 2.3.3 Brindar acompañamiento a los sectores productivos en la gestión de residuos Posconsumo</t>
  </si>
  <si>
    <t>Proyecto 2.4 AUTORIDAD AMBIENTAL Y ADMINISTRACIÓN DE LOS RECURSOS NATURALES, Proyecto 2.6 GESTIÓN INTEGRAL DE LA CALIDAD DEL AIRE</t>
  </si>
  <si>
    <t>Formulación del Plan departamental de negocios verdes</t>
  </si>
  <si>
    <t>Poryecto 2.1 FORTALECIMIENTO DEL PROGRAMA REGIONAL DE NEGOCIOS VERDES</t>
  </si>
  <si>
    <t>Proyecto 2.4 AUTORIDAD AMBIENTAL Y ADMINISTRACIÓN DE LOS RECURSOS NATURALES, Actividad 2.4.2 Gestión de trámites ambientales</t>
  </si>
  <si>
    <t>Proyecto 2.4 AUTORIDAD AMBIENTAL Y ADMINISTRACIÓN DE LOS RECURSOS NATURALES, Actividad 2.4.6. Seguimiento a los PGIRS</t>
  </si>
  <si>
    <t>Proyecto 2.4 AUTORIDAD AMBIENTAL Y ADMINISTRACIÓN DE LOS RECURSOS NATURALES, Actividad 2.4.3 Seguimiento a autorizaciones ambientales</t>
  </si>
  <si>
    <t>Proyecto 2.4 AUTORIDAD AMBIENTAL Y ADMINISTRACIÓN DE LOS RECURSOS NATURALES, Actividad 2.4.1 Gestión de los procesos sancionatorios</t>
  </si>
  <si>
    <t xml:space="preserve">Proyecto 6.1 INCORPORACIÓN DE LA DIMENSIÓN AMBIENTAL EN INSTRUMENTOS DE PLANIFICACIÓN DEL DEPARTAMENTO, Actividades 6.1.1 Adopción y Actualización de las determinantes ambientales para su incorporación en instrumentos de planeación y Ordenamiento Territorial y 6.1.2 Asesorar a los entes territoriales para la incorporación de las Determinantes y Asuntos ambientales en sus Instrumentos de Planificación Territorial  </t>
  </si>
  <si>
    <t xml:space="preserve">Proyecto 2.6 GESTIÓN INTEGRAL DE LA CALIDAD DEL AIRE, Actividad 2.6.1 Operativizar el Sistema de Vigilancia de la Calidad del Aire - SVCA </t>
  </si>
  <si>
    <t>Proyecto 5.1 FORTALECIMIENTO DEL SISTEMA DE INFORMACIÓN AMBIENTAL REGIONAL (SIAR), Actividad 5.1.3 Reporte de la información en el SIAC</t>
  </si>
  <si>
    <t>Proyecto 1.1  IMPLEMENTACIÓN DE LA POLÍTICA DE EDUCACIÓN AMBIENTAL y Proyecto 1.2 IMPLEMENTACIÓN DE ESTRATEGIAS DE PARTICIPACIÓN Y CULTURA AMBIENTAL</t>
  </si>
  <si>
    <t>(1) LINEAS ESTRATEGICAS - PROGRAMAS - PROYECTOS Y ACTIVIDADES DEL PLAN DE ACCIÓN 2020-2023</t>
  </si>
  <si>
    <t>Enuncie el nombre del total de los componentes programáticos del PAI: Lineas estrategicas, programas, proyectos y actividades aprobados en el Plan de Acción, utilizando la misma estructura jerárquica del Plan.  Inserte filas cuando sea necesario ingresar mas componentes.  Recuerde que jerárquicamente las lineas están integrados por  programas, estos se componen de proyectos y estos por actividades, y en la matriz se busca conocer hasta la escala de actividad o acción estratégica.</t>
  </si>
  <si>
    <t>Indique la unidad de medida correspondiente a la meta y el avance de la meta física de las actividades, ejemplo hectáreas reforestadas, hectáreas con POMCA, PGIRS Apoyados, etc.  Para el caso de Lineas estrategicas, programas y proyectos no es necesario definir la unidad de medida.</t>
  </si>
  <si>
    <t>Identifique el valor de la meta anual programada para la vigencia que se este evaluando, con relación a la actividad que se relaciona en la columna (1). Ejemplo: hectáreas reforestadas, microcuencas con plan de ordenamiento formulado, # de vertimientos reglamentados, etc.</t>
  </si>
  <si>
    <t>(4) AVANCE DE LA META FISICA</t>
  </si>
  <si>
    <t xml:space="preserve">(4A) AVANCE DEL REZAGO DE LA META FISICA </t>
  </si>
  <si>
    <t>Reporte el avance efectuado en la ejecución de actividades que presentaron rezago en la vigencia inmediatamente anterior.</t>
  </si>
  <si>
    <t>Calcule el porcentaje del avance anual de la Meta física programada. Divida el valor de la columna  (4) con el valor de la columna (3) y multiplique por 100. Si no se presenta avance en la actividad, se deberá diligenciar la matriz con ceros (0,0) y en ningún caso dejar celdas en blanco. Para el cálculo de avance de las líneas, programas y proyectos se debe tener en cuenta el valor de ponderación para la vigencia columna 14, si hay actividades que no tienen meta asociada para el periodo el valor de distribución de las ponderaciones debe distribuirse de forma proporcional entre las actividades que si tienen meta.</t>
  </si>
  <si>
    <t xml:space="preserve">En esta columna debe incluir una descripción o justificación o aclaración del avance del programa, proyecto, actividad. Indicar la cantidad, lugar donde se desarrollo el producto, alcance, etc. </t>
  </si>
  <si>
    <t>(6) FECHA DE EJECUCION DE  LA EVIDENCIA</t>
  </si>
  <si>
    <t>Especifique la fecha en la cual se hace el registro de la evidencia</t>
  </si>
  <si>
    <t xml:space="preserve">(7) TIPO DE EVIDENCIA </t>
  </si>
  <si>
    <t>En esta columna se debera seleccionar si el tipo de evidencia que se esta reportando. Debe seleccionar entre las siguientes opciones: 1.Contrato  2. Funcionamiento</t>
  </si>
  <si>
    <t xml:space="preserve">TIPO DE EVIDENCIA </t>
  </si>
  <si>
    <t>contract</t>
  </si>
  <si>
    <t>funcionting</t>
  </si>
  <si>
    <t>(7-A) ACCIONES DE FUNCIONAMIENTO</t>
  </si>
  <si>
    <t>Si en la columna 7, se selecciono la opción Funcionting, indicar a través de que tipo de acción asociada a funcionamiento se desarrollo la activividad.</t>
  </si>
  <si>
    <t>ACCIONES DE FUNCIONAMIENTO</t>
  </si>
  <si>
    <t>Personal</t>
  </si>
  <si>
    <t>Bienes y Servicios</t>
  </si>
  <si>
    <t>Transferencia</t>
  </si>
  <si>
    <t>(7-B) ESTADO CONTRATO</t>
  </si>
  <si>
    <t>Si en la columna 7, se selecciono la opción contract, indicar en que estado se encuentra el contrato: Liquidado, en ejecució, saldo a favor o en reserva</t>
  </si>
  <si>
    <t>ESTADO CTO</t>
  </si>
  <si>
    <t>1153- En ejecución</t>
  </si>
  <si>
    <t>1154- Liquidado</t>
  </si>
  <si>
    <t>1155- En reserva</t>
  </si>
  <si>
    <t xml:space="preserve">1201- Saldo a Favor </t>
  </si>
  <si>
    <t>(7-B.1) N° CONTRATO</t>
  </si>
  <si>
    <t>Si  selecciona en la columna 7 la opcion contrac, Indique el o los numeros de contratos asociados al avance de la actividad  separados de punto y coma (;)</t>
  </si>
  <si>
    <t>(8) VALOR</t>
  </si>
  <si>
    <t>Relacione el valor comprometido para la ejecución de la actividad.</t>
  </si>
  <si>
    <t>(8-A) PAGO DEL CONTRATO</t>
  </si>
  <si>
    <t>Si para el desarrollo de la actividad se ha efectuado algún pago, indique el valor que corresponda a lo pagado</t>
  </si>
  <si>
    <t>(8-B) FECHA DE PAGO</t>
  </si>
  <si>
    <t>Si en la columna 8A indico un valor pagado, especifique la fecha en la cual se efectuo.</t>
  </si>
  <si>
    <t>(9) PORCENTAJE DE AVANCE PROCESO DE GESTION DE LA META FISICA (aplica unicamente para el informe del primer semestre)</t>
  </si>
  <si>
    <t>(10) META FÍSICA DEL PLAN</t>
  </si>
  <si>
    <t>(11) ACUMULADO DE LA META FISICA</t>
  </si>
  <si>
    <t>(12) PORCENTAJE DE AVANCE FISICO ACUMULADO</t>
  </si>
  <si>
    <t>Calcule el porcentaje del avance de la Meta física acumulada. Divida el valor de la columna  (11) con el valor de la columna (11) y multiplique por 100. Para el cálculo de avance de las líneas, programas y proyectos se debe tener en cuenta el valor de ponderación para la vigencia columna 13</t>
  </si>
  <si>
    <t xml:space="preserve">(13) PONDERACIONES DE PROGRAMAS </t>
  </si>
  <si>
    <t>Indique el valor de las ponderaciones o pesos definidos para cada uno de los componente del PAI.</t>
  </si>
  <si>
    <t>(14) PONDERACIONES DE PROGRAMAS  Y PROYECTOS VIGENCIA 2021 (OPCIONAL DE ACUERDO AL PLAN DE ACCIÓN)</t>
  </si>
  <si>
    <t>Indique el valor de las ponderaciones o pesos definidos para cada uno de los componente del PAI en la vigencia objeto de reporte. Si hay actividades que no tienen meta asociada para el periodo el valor de distribución de las ponderaciones debe distribuirse de forma proporcional entre las actividades que si tienen meta para la vigencia.</t>
  </si>
  <si>
    <t>(15) META FINANCIERA ANUAL</t>
  </si>
  <si>
    <t>(16) AVANCE DE LA META FINANCIERA PROGRAMADA (Periodo Evaluado)</t>
  </si>
  <si>
    <t>(17)  PORCENTAJE DE AVANCE FINANCIERO (Periodo evaluado)</t>
  </si>
  <si>
    <t>(18) AVANCE DE LOS RECURSOS OBLIGADOS $</t>
  </si>
  <si>
    <t>Relacione aquí los recursos obligados a corte del reporte, los recursos obligadoss son aquellos que presupuestalmente son reconocidos para pago estos recursos pueden generarse el pago efectivo o quedan en cuentas por pagar.</t>
  </si>
  <si>
    <t>(19) PORCENTAJE DE AVANCE DE LOS RECURSOS OBLIGADOS</t>
  </si>
  <si>
    <t>Se calcula el avance porcentual a la relación entre el avance de la meta financiera (12) y los recursos obligados (14)</t>
  </si>
  <si>
    <t>(20) RESERVA PRESUPUESTAL</t>
  </si>
  <si>
    <t>se calcula la diferencia entre los el avance de la meta financiera (12) y los recursos obligados (14)</t>
  </si>
  <si>
    <t>(21) RESERVA PRESUPUESTAL DEL 2020</t>
  </si>
  <si>
    <t>Indique el valor correspondiente a los recursos que se comprometieron en la vigencia anterior pero no fueron pagados</t>
  </si>
  <si>
    <t>(21-A) OBLIGACIONES DE LA RESERVA 2020</t>
  </si>
  <si>
    <t>Indique el valor correspondiente a los recursos de la reserva presupuestal que se obligaron durante la anualidad objeto de reporte</t>
  </si>
  <si>
    <t>(22) META FINANCIERA DEL PLAN</t>
  </si>
  <si>
    <t xml:space="preserve">(23) AVANCE ACUMULADO DE LA META FINANCIERA </t>
  </si>
  <si>
    <t>(24) PORCENTAJE DE AVANCE FINANCIERO ACUMULADO %</t>
  </si>
  <si>
    <t>Calcule el porcentaje del avance acumulado de la Meta financiera programada en el Plan de Acción. Divida el valor de la columna  (17) con el valor de la columna (18) y multiplique por 100.</t>
  </si>
  <si>
    <t>(25) OBSERVACIONES</t>
  </si>
  <si>
    <t>(26) PROGRAMA DE INVERSIÓN PUBLICA A LA QUE APORTA</t>
  </si>
  <si>
    <t>Indique el programa de inversión pública del sector ambiente con el cual se articularon los programas del PAI.</t>
  </si>
  <si>
    <t>(27) IMG AL QUE  APORTA</t>
  </si>
  <si>
    <t>Indique el indicador minimo de gestión al cual aporta la ejecución de las actividades o acciones estratégicas del PAI.</t>
  </si>
  <si>
    <t>(28) INDICADOR ODS AL QUE LE APORTA</t>
  </si>
  <si>
    <t>Indique el indicador de Objetivo de desarrollo sostenible al cual se aporta con los productos del PAI</t>
  </si>
  <si>
    <r>
      <t xml:space="preserve">(1) LINEAS ESTRATEGICAS -
PROGRAMAS - PROYECTOS Y ACTIVIDADES DEL PLAN DE ACCIÓN 2020-2023
(inserte filas cuando sea necesario)
</t>
    </r>
    <r>
      <rPr>
        <b/>
        <sz val="10"/>
        <color indexed="10"/>
        <rFont val="Arial Narrow"/>
        <family val="2"/>
      </rPr>
      <t/>
    </r>
  </si>
  <si>
    <t xml:space="preserve"> (10)                                                    META FISICA DEL PLAN             (Según unidad de medida)</t>
  </si>
  <si>
    <t>(11)
ACUMULADO DE LA META
FISICA
(Según unidad de medida)</t>
  </si>
  <si>
    <t xml:space="preserve">(12)
PORCENTAJE DE AVANCE 
FISICO ACUMULADO %
((8/7)*100)
</t>
  </si>
  <si>
    <t>(15)                       META FINANCIERA ANUAL             
($)</t>
  </si>
  <si>
    <t xml:space="preserve">(16)
AVANCE DE LA META
FINANCIERA
(Recursos comprometidos periodo Evaluado)
($)
</t>
  </si>
  <si>
    <t>(17)                           PORCENTAJE DEL AVANCE 
FINANCIERO %
(Periodo Evaluado)
((16/17)*100)</t>
  </si>
  <si>
    <t>(22)                                         META FINANCIERA   DEL PLAN             ($)</t>
  </si>
  <si>
    <t xml:space="preserve">(23)
ACUMULADO DE LA META
FINANCIERA
$
</t>
  </si>
  <si>
    <t xml:space="preserve">(24)
PORCENTAJE DE  AVANCE FINANCIERO ACUMULADO %
((15/14)*100)
</t>
  </si>
  <si>
    <t>(25)
OBSERVACIONES</t>
  </si>
  <si>
    <t>(26)
PROGRAMA DE INVERSIÓN PUBLICA A LA QUE APORTA</t>
  </si>
  <si>
    <t>(27)
IMG AL QUE  APORTA</t>
  </si>
  <si>
    <t>(28)
INDICADOR ODS AL QUE LE APORTA</t>
  </si>
  <si>
    <t>COD. FUENTE</t>
  </si>
  <si>
    <t>SCRIP</t>
  </si>
  <si>
    <t>LINEA ESTRATEGICA 1. GENERACIÓN DE CORRESPONSABILIDAD, CONDUCTAS Y ACCIONES CIUDADANAS COMPATIBLES
 CON LA CULTURA DE CONSERVACIÓN DEL MEDIO AMBIENTE Y LOS RECURSOS NATURALES</t>
  </si>
  <si>
    <t>LINEA ESTRATEGICA 2. PLANIFICACIÓN, MANEJO Y USO SOSTENIBLE DE LOS RECURSOS Y VALORES NATURALES Y CULTURALES</t>
  </si>
  <si>
    <t>LINEA ESTRATEGICA 3. FORTALECIMIENTO INSTITUCIONAL PARA LA ADMINISTRACIÓN Y CONSERVACIÓN DE LOS RECURSOS NATURALES</t>
  </si>
  <si>
    <t>(13) 
PONDERACIONES DE PROGRAMAS, PROYECTOS Y ACTIVIDADES</t>
  </si>
  <si>
    <t>2.1.1 (A)Restructuración de la ventanilla y consolidación del Nodo de Negocios Verdes</t>
  </si>
  <si>
    <t>2.1.1 (B) Restructuración de la ventanilla y consolidación del Nodo de Negocios Verdes</t>
  </si>
  <si>
    <t>2.1.5 (A)Formulación e implementación del Plan departamental de negocios verdes</t>
  </si>
  <si>
    <t>2.1.5 (B)Formulación e implementación del Plan departamental de negocios verdes</t>
  </si>
  <si>
    <t>4.1.1.(A) Formular y adoptar Planes de Ordenamiento del Recurso Hídrico - PORH en corrientes priorizadas del departamento</t>
  </si>
  <si>
    <t>4.1.1.(B) Formular y adoptar Planes de Ordenamiento del Recurso Hídrico - PORH en corrientes priorizadas del departamento</t>
  </si>
  <si>
    <t>6.1.1 (A) Adopción de las determinantes ambientales para su incorporación en instrumentos de planeación y Ordenamiento Territorial</t>
  </si>
  <si>
    <t>6.1.1 (B) Actualización de las determinantes ambientales para su incorporación en instrumentos de planeación y Ordenamiento Territorial</t>
  </si>
  <si>
    <t xml:space="preserve">9.1.1 (A) Formulación del Plan estratégico de Tecnologías de la Información y las Comunicaciones </t>
  </si>
  <si>
    <t xml:space="preserve">9.1.1 (B) Ejecución del Plan estratégico de Tecnologías de la Información y las Comunicaciones </t>
  </si>
  <si>
    <t>AVANCE CON % LINEAS DEL PGAR</t>
  </si>
  <si>
    <t>Porcentaje Acreditación a través de la Norma ISO 17025</t>
  </si>
  <si>
    <t>(14) PONDERACIONES DE PROGRAMAS  Y PROYECTOS VIGENCIA 2022 (OPCIONAL DE ACUERDO AL PLAN DE ACCIÓN)</t>
  </si>
  <si>
    <t>Proyecto Formulado</t>
  </si>
  <si>
    <t>De acuerdo a la estructura programatica del PAI 2020-2023, este IMG no tiene meta para la vigencia 2022.</t>
  </si>
  <si>
    <t>En cumplimiento de esta actividad, se ejecuta el contrato 235 de 2022, con el objeto de “Reglamentar los usos del agua y de los vertimientos en los ríos Frio y Sevilla en la jurisdicción de Corpamag”</t>
  </si>
  <si>
    <t>Ejecución de acciones para la implementación de los planes operativos de los POMCAS SZH 1501, NSS 2906-01 y SZH 20907 formulados   y adoptados por Corpamag relacionadas con el programa de fortalecimiento de la capacidad institucional para la gestión de la información ambiental.</t>
  </si>
  <si>
    <t xml:space="preserve">Plan de Ordenación y Manejo de la Cuenca Hidrográfica Complejo Humedales Ciénaga Grande de Santa Marta (NSS 2906-01)
Plan de Ordenación y Manejo de la Cuenca Hidrográfica Río Piedras, río Manzanares y otros directos al Caribe (SZH 1501)
Plan de Ordenación y Manejo de la Cuenca Hidrográfica Directos al Bajo Magdalena entre El Banco y Plato (2907)
</t>
  </si>
  <si>
    <t>Sabanas de San Ángel, Plato, Tenerife, Nueva Granada, Zapayán, Guamal, El Retén, El Piñón y Pivijay</t>
  </si>
  <si>
    <t>Restauración hidráulica y ambiental de tributarios del sector occidental de la CGSM en el departamento del Magdalena</t>
  </si>
  <si>
    <t>Se reporta en el Indicador solo 40, por que al reportar las 76 ha, arroja un resultado superior al 100%</t>
  </si>
  <si>
    <t>Dentro de la ejecución de este proyecto se ejecuta la actividad Reforestación Complementaria para Protección de Taludes con una meta de 70,30 ha, a la fecha se han ejecutado el 100%</t>
  </si>
  <si>
    <t>Dentro de la ejecución de este proyecto se ejecuta la actividad Reforestación Complementaria para Protección de Taludes con una meta de 42,60 ha, a la fecha se han ejecutado el 100%</t>
  </si>
  <si>
    <r>
      <t xml:space="preserve">La Corporación durante la vigencia, suscribió el contrato N° 234 de 2022, con el objeto de “Prestación de servicios profesionales para la formulación del plan de ordenación forestal del área comprendida por los municipios de Pedraza Algarrobo, Ariguaní, Chibolo, Plato, Sabanas De San Ángel, Tenerife, Zapayán y Fundación”, se cuenta con un avance acumulado del </t>
    </r>
    <r>
      <rPr>
        <b/>
        <sz val="10"/>
        <color theme="1"/>
        <rFont val="Calibri"/>
        <family val="2"/>
        <scheme val="minor"/>
      </rPr>
      <t>60%</t>
    </r>
    <r>
      <rPr>
        <sz val="10"/>
        <color theme="1"/>
        <rFont val="Calibri"/>
        <family val="2"/>
        <scheme val="minor"/>
      </rPr>
      <t>.</t>
    </r>
  </si>
  <si>
    <t xml:space="preserve">Distrito Regional de Manejo Integrado Complejo Cenagoso Zárate, Malibú y Veladero </t>
  </si>
  <si>
    <t>Portuario Fluvial</t>
  </si>
  <si>
    <t>Maritimo</t>
  </si>
  <si>
    <t>Otros</t>
  </si>
  <si>
    <t>VIII jornada de recolección de residuos posconsumo en el departamento del Magdalena. La jornada se organizó en coordinación con los programas posconsumo Lúmina, Recopila, RLG, Digital Green, Campo Limpio, Aprovet, EcoGestiones, y CoExito.</t>
  </si>
  <si>
    <t>Las ejecución de las actividades de este indicador se realiza con servidores de planta</t>
  </si>
  <si>
    <t>Bananero, Educativo y Hotelero.</t>
  </si>
  <si>
    <t xml:space="preserve">VIII Jornada de recolección de residuos posconsumo </t>
  </si>
  <si>
    <t xml:space="preserve">Capacitación sector bananero “fortalecimiento en el diligenciamiento del registro de generadores de residuos peligrosos” en alianza augura y campo limpio
Jornadas de sensibilización en las veredas “el campano”, “bellavista”, “vista nieves” y “la tagua”
Capacitación virtual manejo de residuos posconsumo sectores productivos
Capacitación virtual manejo de residuos posconsumo sector educativo
</t>
  </si>
  <si>
    <t>Contratar los servicios para prevenir, monitorear y controlar la especie marina invasora pterois volitans conocida comúnmente como pez león con el fin de minimizar los impactos que esta especie genera en los ecosistemas marinos del departamento del Magdalena.</t>
  </si>
  <si>
    <t xml:space="preserve">Centro de Atención y Valoración  de Fauna Silvestre- CAVFS. 
</t>
  </si>
  <si>
    <t xml:space="preserve">El CAVFS cuenta con un personal de veterinarios y biólogos con experiencia en la atención, valoración y rehabilitación de fauna silvestre, en donde una vez recibidos los animales, se realiza el registro de su ingreso y se valora su estado de salud en general, en caso de estar heridos o con fracturas se les hace atención y tratamiento por intervención de un médico veterinario, para posteriormente ingresarlos al programa de recuperación y adaptación para su disposición final </t>
  </si>
  <si>
    <t>CORPORACIÓN AUTONOMA REGIONAL DEL SUR DE BOLIVAR</t>
  </si>
  <si>
    <t>RECURSOS VIGENCIA :  2022-II</t>
  </si>
  <si>
    <t>FECHA DEL RECAUDO</t>
  </si>
  <si>
    <t>%
FUNCIONAMIENTO</t>
  </si>
  <si>
    <t>%
INVERSIÓN</t>
  </si>
  <si>
    <t>%
FCA</t>
  </si>
  <si>
    <t>%
SERVICIO A LA DEUDA</t>
  </si>
  <si>
    <t>014</t>
  </si>
  <si>
    <t xml:space="preserve">Sobretasa ambiental </t>
  </si>
  <si>
    <t>Sobretasa ambiental - Urbano</t>
  </si>
  <si>
    <t>Sobretasa ambiental - Urbano-Vigencia actual</t>
  </si>
  <si>
    <t>Sobretasa ambiental - Urbano-Vigencia anterior</t>
  </si>
  <si>
    <t>3</t>
  </si>
  <si>
    <t>Sobretasa ambiental - Urbano-REcuperación de Cartera</t>
  </si>
  <si>
    <t>Sobretasa ambiental -  Rural</t>
  </si>
  <si>
    <t>Sobretasa ambiental -  Rural- Vigencia Actual</t>
  </si>
  <si>
    <t>Sobretasa ambiental -  Rural- Vigencia Anterior</t>
  </si>
  <si>
    <t>Sobretasa ambiental -  Rural- REcuperación de Cartera</t>
  </si>
  <si>
    <t>201</t>
  </si>
  <si>
    <t>Sobretasa Ambiental Áreas Metropolitanas</t>
  </si>
  <si>
    <t>Sobretasa Ambiental Áreas Metropolitanas- Vigencia actual</t>
  </si>
  <si>
    <t>Sobretasa Ambiental Áreas Metropolitanas - Vigencia Anterior</t>
  </si>
  <si>
    <t>Sobretasa Ambiental Áreas Metropolitanas -REcuperación de Cartera</t>
  </si>
  <si>
    <t>Ingresos no tributarios</t>
  </si>
  <si>
    <t>Contribución sector eléctrico - Generadores de energía convencional - Vigencia Actual</t>
  </si>
  <si>
    <t>Contribución sector eléctrico - Generadores de energía convencional - Vigencia Anterior</t>
  </si>
  <si>
    <t>Contribución sector eléctrico - Generadores de energía convencional -REcuperación de Cartera</t>
  </si>
  <si>
    <t>Contribución sector eléctrico - Generadores de energía no convencional - Vigencia Actual</t>
  </si>
  <si>
    <t>Contribución sector eléctrico - Generadores de energía no convencional - Vigencia Anterior</t>
  </si>
  <si>
    <t>Contribución sector eléctrico - Generadores de energía no convencional - Recuperación de Cartera</t>
  </si>
  <si>
    <t>Tasas y derechos administrativos</t>
  </si>
  <si>
    <t>015</t>
  </si>
  <si>
    <t>Certificaciones y constancias</t>
  </si>
  <si>
    <t>Certificaciones y constancias- Vigencia Actual</t>
  </si>
  <si>
    <t>Certificaciones y constancias - Vigencia Anterior</t>
  </si>
  <si>
    <t>Certificaciones y constancias - Recuperación de Cartera</t>
  </si>
  <si>
    <t>036</t>
  </si>
  <si>
    <t>Evaluación de licencias y trámites ambientales - Vigencia Actual</t>
  </si>
  <si>
    <t>Evaluación de licencias y trámites ambientales -Vigencia Anterior</t>
  </si>
  <si>
    <t>Evaluación de licencias y trámites ambientales -Recuperación de Cartera</t>
  </si>
  <si>
    <t>037</t>
  </si>
  <si>
    <t>Seguimiento a licencias y trámites ambientales - Vigencia Actual</t>
  </si>
  <si>
    <t>Seguimiento a licencias y trámites ambientales - Vigencia Anterior</t>
  </si>
  <si>
    <t>Seguimiento a licencias y trámites ambientales - Rendimientos</t>
  </si>
  <si>
    <t>055</t>
  </si>
  <si>
    <t>Tasa por el uso del agua - Vigencia Actual</t>
  </si>
  <si>
    <t>Tasa por el uso del agua - Vigencia Anterior</t>
  </si>
  <si>
    <t>Tasa por el uso del agua - Recuperación de Cartera</t>
  </si>
  <si>
    <t>088</t>
  </si>
  <si>
    <t>Tasa retributiva -  Vigencia Actual</t>
  </si>
  <si>
    <t>Tasa retributiva - Vigencia Anterior</t>
  </si>
  <si>
    <t>Tasa retributiva - Recuperación de Cartera</t>
  </si>
  <si>
    <t>089</t>
  </si>
  <si>
    <t>Tasa por aprovechamiento forestal</t>
  </si>
  <si>
    <t>Tasa por aprovechamiento forestal - Vigencia Actual</t>
  </si>
  <si>
    <t>Tasa por aprovechamiento forestal - Vigencia Anterior</t>
  </si>
  <si>
    <t>Tasa por aprovechamiento forestal - Recuperación de Cartera</t>
  </si>
  <si>
    <t>090</t>
  </si>
  <si>
    <t>Tasa compensatoria por caza de fauna silvestre - Vigencia Actual</t>
  </si>
  <si>
    <t>Tasa compensatoria por caza de fauna silvestre - Vigencia Anterior</t>
  </si>
  <si>
    <t>Tasa compensatoria por caza de fauna silvestre - Recuperación de Cartera</t>
  </si>
  <si>
    <t>110</t>
  </si>
  <si>
    <t>Sobretasa ambiental - Peajes - Vigencia Actual</t>
  </si>
  <si>
    <t>Sobretasa ambiental - Peajes - Vigencia Anterior</t>
  </si>
  <si>
    <t>Sobretasa ambiental - Peajes - Recuperación de Cartera</t>
  </si>
  <si>
    <t>112</t>
  </si>
  <si>
    <t>Tasa Compensatoria por la utilización permanente de la reserva forestal protectora Bosque Oriental de Bogotá - Vigencia Actual</t>
  </si>
  <si>
    <t>Tasa Compensatoria por la utilización permanente de la reserva forestal protectora Bosque Oriental de Bogotá - Vigencia Anterior</t>
  </si>
  <si>
    <t>Tasa Compensatoria por la utilización permanente de la reserva forestal protectora Bosque Oriental de Bogotá - Recuperación de Cartera</t>
  </si>
  <si>
    <t>113</t>
  </si>
  <si>
    <t>Salvoconducto Unico Nacional</t>
  </si>
  <si>
    <t>Salvoconducto Unico Nacional - Vigencia Actual</t>
  </si>
  <si>
    <t>Salvoconducto Unico Nacional - Vigencia Anterior</t>
  </si>
  <si>
    <t>Salvoconducto Unico Nacional - Recuperación de Cartera</t>
  </si>
  <si>
    <t>001</t>
  </si>
  <si>
    <t>Sanciones disciplinarias</t>
  </si>
  <si>
    <t>Sanciones disciplinarias - Vigencia Actual</t>
  </si>
  <si>
    <t>Sanciones disciplinarias - Vigencia Anterior</t>
  </si>
  <si>
    <t>Sanciones disciplinarias - Recuperación de Cartera</t>
  </si>
  <si>
    <t>Sanciones contractuales</t>
  </si>
  <si>
    <t>Sanciones contractuales - Vigencia Actual</t>
  </si>
  <si>
    <t>Sanciones contractuales - Vigencia Anterior</t>
  </si>
  <si>
    <t>Sanciones contractuales - Recuperación de Cartera</t>
  </si>
  <si>
    <t>Sanciones administrativas</t>
  </si>
  <si>
    <t>Sanciones administrativas - Vigencia Actual</t>
  </si>
  <si>
    <t>Sanciones administrativas - Vigencia Anterior</t>
  </si>
  <si>
    <t>Sanciones administrativas - Recuperación de Cartera</t>
  </si>
  <si>
    <t>13</t>
  </si>
  <si>
    <t>Sanciones sanitarias</t>
  </si>
  <si>
    <t>Sanciones sanitarias - Vigencia Actual</t>
  </si>
  <si>
    <t>Sanciones sanitarias - Vigencia Anterior</t>
  </si>
  <si>
    <t>Sanciones sanitarias - Recuperación de Cartera</t>
  </si>
  <si>
    <t>22</t>
  </si>
  <si>
    <t>Multas ambientales - Vigencia Actual</t>
  </si>
  <si>
    <t>Multas ambientales - Vigencia Anterior</t>
  </si>
  <si>
    <t>Multas ambientales - Recuperación de Cartera</t>
  </si>
  <si>
    <t>002</t>
  </si>
  <si>
    <t>Intereses de mora-Sobretasa ambiental</t>
  </si>
  <si>
    <t>Intereses de mora - Tasa por el uso del agua</t>
  </si>
  <si>
    <t>Intereses de mora - Tasa retributiva</t>
  </si>
  <si>
    <t>4</t>
  </si>
  <si>
    <t>Intereses de mora - Seguimiento a licencias y trámites ambientales</t>
  </si>
  <si>
    <t>Venta de bienes y servicios</t>
  </si>
  <si>
    <t>Ventas de establecimientos de mercado</t>
  </si>
  <si>
    <t>00</t>
  </si>
  <si>
    <t>Agricultura, silvicultura y productos de la pesca - Vigencia Actual</t>
  </si>
  <si>
    <t>Agricultura, silvicultura y productos de la pesca - Vigencia Anterior</t>
  </si>
  <si>
    <t>Agricultura, silvicultura y productos de la pesca - Recuperación de Cartera</t>
  </si>
  <si>
    <t>Minerales; electricidad, gas y agua</t>
  </si>
  <si>
    <t>Minerales; electricidad, gas y agua - Vigencia Actual</t>
  </si>
  <si>
    <t>Minerales; electricidad, gas y agua - Vigencia Anterior</t>
  </si>
  <si>
    <t>Minerales; electricidad, gas y agua - Recuperación de Cartera</t>
  </si>
  <si>
    <t>Productos alimenticios, bebidas y tabaco; textiles, prendas de vestir y productos de cuero</t>
  </si>
  <si>
    <t>Productos alimenticios, bebidas y tabaco; textiles, prendas de vestir y productos de cuero - Vigencia Actual</t>
  </si>
  <si>
    <t>Productos alimenticios, bebidas y tabaco; textiles, prendas de vestir y productos de cuero - Vigencia Anterior</t>
  </si>
  <si>
    <t>Productos alimenticios, bebidas y tabaco; textiles, prendas de vestir y productos de cuero - Recuperación de Cartera</t>
  </si>
  <si>
    <t>Otros bienes transportables (excepto productos metálicos, maquinaria y equipo)</t>
  </si>
  <si>
    <t>Otros bienes transportables (excepto productos metálicos, maquinaria y equipo) - Vigencia Actual</t>
  </si>
  <si>
    <t>Otros bienes transportables (excepto productos metálicos, maquinaria y equipo) - Vigencia Anterior</t>
  </si>
  <si>
    <t>Otros bienes transportables (excepto productos metálicos, maquinaria y equipo) - Recuperación de Cartera</t>
  </si>
  <si>
    <t>Productos metálicos, maquinaria y equipo - Vigencia Actual</t>
  </si>
  <si>
    <t>Productos metálicos, maquinaria y equipo - Vigencia Anterior</t>
  </si>
  <si>
    <t>Productos metálicos, maquinaria y equipo - Recuperación de Cartera</t>
  </si>
  <si>
    <t>Servicios de la construcción</t>
  </si>
  <si>
    <t>Servicios de la construcción - Vigencia Actual</t>
  </si>
  <si>
    <t>Servicios de la construcción - Vigencia Anterior</t>
  </si>
  <si>
    <t>Servicios de la construcción - Recuperación de Cartera</t>
  </si>
  <si>
    <t>Servicios de alojamiento; servicios de suministro de comidas y bebidas; servicios de transporte; y servicios de distribución de electricidad, gas y agua - Vigencia Actual</t>
  </si>
  <si>
    <t>Servicios de alojamiento; servicios de suministro de comidas y bebidas; servicios de transporte; y servicios de distribución de electricidad, gas y agua - Vigencia Anterior</t>
  </si>
  <si>
    <t>Servicios de alojamiento; servicios de suministro de comidas y bebidas; servicios de transporte; y servicios de distribución de electricidad, gas y agua - Recuperación de Cartera</t>
  </si>
  <si>
    <t>Servicios financieros y servicios conexos, servicios inmobiliarios y servicios de leasing - Vigencia Anterior</t>
  </si>
  <si>
    <t>Servicios financieros y servicios conexos, servicios inmobiliarios y servicios de leasing - Vigencia Actual</t>
  </si>
  <si>
    <t>Servicios financieros y servicios conexos, servicios inmobiliarios y servicios de leasing - Recuperación de Cartera</t>
  </si>
  <si>
    <t xml:space="preserve">Servicios prestados a las empresas y servicios de producción </t>
  </si>
  <si>
    <t>Servicios prestados a las empresas y servicios de producción  - Vigencia Actual</t>
  </si>
  <si>
    <t>Servicios prestados a las empresas y servicios de producción  - Vigencia Anterior</t>
  </si>
  <si>
    <t>Servicios prestados a las empresas y servicios de producción  - Recuperación de Cartera</t>
  </si>
  <si>
    <t>Servicios para la comunidad, sociales y personales</t>
  </si>
  <si>
    <t>Servicios para la comunidad, sociales y personales - Vigencia Actual</t>
  </si>
  <si>
    <t>Servicios para la comunidad, sociales y personales - Vigencia Anterior</t>
  </si>
  <si>
    <t>Servicios para la comunidad, sociales y personales - Recuperación de Cartera</t>
  </si>
  <si>
    <t>Elementos militares de un solo uso</t>
  </si>
  <si>
    <t>Elementos militares de un solo uso - Vigencia Actual</t>
  </si>
  <si>
    <t>Elementos militares de un solo uso - Vigencia Anterior</t>
  </si>
  <si>
    <t>Elementos militares de un solo uso - Recuperación de Cartera</t>
  </si>
  <si>
    <t>Ventas incidentales de establecimientos no de mercado</t>
  </si>
  <si>
    <t>Agricultura, silvicultura y productos de la pesca -  Vigencia Anterior</t>
  </si>
  <si>
    <t>Servicios de alojamiento; servicios de suministro de comidas y bebidas; servicios de transporte; y servicios de distribución de electricidad, gas y agua -  Vigencia Actual</t>
  </si>
  <si>
    <t>Servicios prestados a las empresas y servicios de producción - Recuperación de Cartera</t>
  </si>
  <si>
    <t>Transferencias corrientes</t>
  </si>
  <si>
    <t>003</t>
  </si>
  <si>
    <t>14</t>
  </si>
  <si>
    <t>Participación ambiental en el porcentaje de recaudo del impuesto predial - Vigencia Actual</t>
  </si>
  <si>
    <t>Participación ambiental en el porcentaje de recaudo del impuesto predial - Vigencia Anterior</t>
  </si>
  <si>
    <t>Participación ambiental en el porcentaje de recaudo del impuesto predial - Recuperación de Cartera</t>
  </si>
  <si>
    <t>Participación de intereses de mora al porcentaje de recaudo del impuesto predial - Vigencia Actual</t>
  </si>
  <si>
    <t>Participación de intereses de mora al porcentaje de recaudo del impuesto predial - Vigencia Anterior</t>
  </si>
  <si>
    <t>Participación de intereses de mora al porcentaje de recaudo del impuesto predial - Recuperación de Cartera</t>
  </si>
  <si>
    <t>006</t>
  </si>
  <si>
    <t>Transferencias de otras entidades del gobierno general</t>
  </si>
  <si>
    <t>009</t>
  </si>
  <si>
    <t>Recursos del Sistema de Seguridad Social Integral</t>
  </si>
  <si>
    <t>Sistema General de Pensiones</t>
  </si>
  <si>
    <t>Concurrencia pasivo pensional</t>
  </si>
  <si>
    <t>Concurrencia pasivo pensional - Vigencia Actual</t>
  </si>
  <si>
    <t>Concurrencia pasivo pensional -  Vigencia Anterior</t>
  </si>
  <si>
    <t>Concurrencia pasivo pensional - Recuperación de Cartera</t>
  </si>
  <si>
    <t>010</t>
  </si>
  <si>
    <t>Sentencias y conciliaciones</t>
  </si>
  <si>
    <t>Fallos nacionales</t>
  </si>
  <si>
    <t>Sentencias</t>
  </si>
  <si>
    <t>Sentencias - Vigencia Actual</t>
  </si>
  <si>
    <t>Sentencias - Vigencia Anterior</t>
  </si>
  <si>
    <t>Sentencias - Recuperación de Cartera</t>
  </si>
  <si>
    <t>Conciliaciones</t>
  </si>
  <si>
    <t>Conciliaciones - Vigencia Actual</t>
  </si>
  <si>
    <t>Conciliaciones - Vigencia Anterior</t>
  </si>
  <si>
    <t>Conciliaciones - Recuperación de Cartera</t>
  </si>
  <si>
    <t>Laudos arbitrales</t>
  </si>
  <si>
    <t>Laudos arbitrales - Vigencia Actual</t>
  </si>
  <si>
    <t>Laudos arbitrales - Vigencia Anterior</t>
  </si>
  <si>
    <t>Laudos arbitrales - Recuperación de Cartera</t>
  </si>
  <si>
    <t>011</t>
  </si>
  <si>
    <t>Indemnizaciones relacionadas con seguros no de vida - Vigencia Anterior</t>
  </si>
  <si>
    <t>Indemnizaciones relacionadas con seguros no de vida - Vigencia Actual</t>
  </si>
  <si>
    <t>Indemnizaciones relacionadas con seguros no de vida - Recuperación de Cartera</t>
  </si>
  <si>
    <t>020</t>
  </si>
  <si>
    <t>Devoluciones seguridad social - pensiones</t>
  </si>
  <si>
    <t>Devoluciones seguridad social - pensiones - Vigencia Actual</t>
  </si>
  <si>
    <t>Devoluciones seguridad social - pensiones - Vigencia Anterior</t>
  </si>
  <si>
    <t>Devoluciones seguridad social - pensiones - Recuperación de Cartera</t>
  </si>
  <si>
    <t>Disposición de activos financieros</t>
  </si>
  <si>
    <t>Acciones - Vigencia Actual</t>
  </si>
  <si>
    <t>Acciones - Vigencia Anterior</t>
  </si>
  <si>
    <t>Acciones - Recuperación de Cartera</t>
  </si>
  <si>
    <t>Reducciones de capital</t>
  </si>
  <si>
    <t>Reducciones de capital - Vigencia Actual</t>
  </si>
  <si>
    <t>Reducciones de capital - Vigencia Anterior</t>
  </si>
  <si>
    <t>Reducciones de capital - Recuperación de Cartera</t>
  </si>
  <si>
    <t>Reembolso de participaciones en fondos de inversión</t>
  </si>
  <si>
    <t>Reembolso de participaciones en fondos de inversión - Vigencia Actual</t>
  </si>
  <si>
    <t>Reembolso de participaciones en fondos de inversión - Vigencia Anterior</t>
  </si>
  <si>
    <t>Reembolso de participaciones en fondos de inversión - Recuperación de Cartera</t>
  </si>
  <si>
    <t>004</t>
  </si>
  <si>
    <t>Títulos de devolución de impuestos-TIDIS</t>
  </si>
  <si>
    <t>Títulos de devolución de impuestos-TIDIS - Vigencia Actual</t>
  </si>
  <si>
    <t>Títulos de devolución de impuestos-TIDIS - Vigencia Anterior</t>
  </si>
  <si>
    <t>Títulos de devolución de impuestos-TIDIS - Recuperación de Cartera</t>
  </si>
  <si>
    <t>Disposición de edificaciones y estructuras - Vigencia Actual</t>
  </si>
  <si>
    <t>Disposición de edificaciones y estructuras - Vigencia Anterior</t>
  </si>
  <si>
    <t>Disposición de edificaciones y estructuras - Recuperación de Cartera</t>
  </si>
  <si>
    <t>Disposición de maquinaria y equipo - Vigencia Actual</t>
  </si>
  <si>
    <t>Disposición de maquinaria y equipo - Vigencia Anterioir</t>
  </si>
  <si>
    <t>Disposición de maquinaria y equipo - Recuperación de Cartera</t>
  </si>
  <si>
    <t>Disposición de recursos biológicos cultivados - Vigencia Actual</t>
  </si>
  <si>
    <t>Disposición de recursos biológicos cultivados - Vigencia Anterior</t>
  </si>
  <si>
    <t>Disposición de recursos biológicos cultivados - Recuperación de Cartera</t>
  </si>
  <si>
    <t>Disposición de productos de la propiedad intelectual - Vigencia Actual</t>
  </si>
  <si>
    <t>Disposición de productos de la propiedad intelectual - Vigencia Anterior</t>
  </si>
  <si>
    <t>Disposición de productos de la propiedad intelectual - Recuperación de Cartera</t>
  </si>
  <si>
    <t>Disposición de objetos de valor</t>
  </si>
  <si>
    <t>Disposición de joyas y artículos conexos</t>
  </si>
  <si>
    <t>Disposición de joyas y artículos conexos - Vigencia Actual</t>
  </si>
  <si>
    <t>Disposición de joyas y artículos conexos - Vigencia Anterior</t>
  </si>
  <si>
    <t>Disposición de joyas y artículos conexos - Recuperación de Cartera</t>
  </si>
  <si>
    <t>Disposición de antigüedades u otros objetos de arte</t>
  </si>
  <si>
    <t>Disposición de antigüedades u otros objetos de arte - Vigencia Actual</t>
  </si>
  <si>
    <t>Disposición de antigüedades u otros objetos de arte - Vigencia Anterior</t>
  </si>
  <si>
    <t>Disposición de antigüedades u otros objetos de arte - Recuperación de Cartera</t>
  </si>
  <si>
    <t>Disposición de otros objetos valiosos</t>
  </si>
  <si>
    <t>Disposición de otros objetos valiosos - Vigencia Actual</t>
  </si>
  <si>
    <t>Disposición de otros objetos valiosos - Vigencia Anterior</t>
  </si>
  <si>
    <t>Disposición de otros objetos valiosos - Recuperación de Cartera</t>
  </si>
  <si>
    <t>Disposición de  tierras y terrenos - Vigencia Actual</t>
  </si>
  <si>
    <t>Disposición de  tierras y terrenos - Vigencia Anterior</t>
  </si>
  <si>
    <t>Disposición de  tierras y terrenos - Recuperación de Cartera</t>
  </si>
  <si>
    <t>Disposición de recursos biológicos no cultivados - Vigencia Actual</t>
  </si>
  <si>
    <t>Disposición de recursos biológicos no cultivados - Vigencia Anterior</t>
  </si>
  <si>
    <t>Disposición de recursos biológicos no cultivados - Recuperación de Cartera</t>
  </si>
  <si>
    <t>Empresas industriales y comerciales del Estado societarias</t>
  </si>
  <si>
    <t>Empresas industriales y comerciales del Estado societarias - Vigencia Actual</t>
  </si>
  <si>
    <t>Empresas industriales y comerciales del Estado societarias - Vigencia Anterior</t>
  </si>
  <si>
    <t>Empresas industriales y comerciales del Estado societarias - Recuperación de Cartera</t>
  </si>
  <si>
    <t>Sociedades de economía mixta - Vigencia Actual</t>
  </si>
  <si>
    <t>Sociedades de economía mixta - Vigencia Anterior</t>
  </si>
  <si>
    <t>Sociedades de economía mixta - Recuperación de Cartera</t>
  </si>
  <si>
    <t>Inversiones patrimoniales no controladas - Vigencia Actual</t>
  </si>
  <si>
    <t>Inversiones patrimoniales no controladas - Vigencia Anterior</t>
  </si>
  <si>
    <t>Inversiones patrimoniales no controladas - Recuperación de Cartera</t>
  </si>
  <si>
    <t>Inversiones en entidades controladas - entidades en el exterior</t>
  </si>
  <si>
    <t>Inversiones en entidades controladas - entidades en el exterior - Vigencia Actual</t>
  </si>
  <si>
    <t>Inversiones en entidades controladas - entidades en el exterior - Vigencia Anterior</t>
  </si>
  <si>
    <t>Inversiones en entidades controladas - entidades en el exterior - Recuperación de Cartera</t>
  </si>
  <si>
    <t>Inversiones en entidades controladas - sociedades públicas</t>
  </si>
  <si>
    <t>Inversiones en entidades controladas - sociedades públicas - Vigencia Actual</t>
  </si>
  <si>
    <t>Inversiones en entidades controladas - sociedades públicas - Vigencia Anterior</t>
  </si>
  <si>
    <t>Inversiones en entidades controladas - sociedades públicas - Recuperación de Cartera</t>
  </si>
  <si>
    <t>Rendimientos financieros</t>
  </si>
  <si>
    <t>Rendimientos financieros de títulos participativos</t>
  </si>
  <si>
    <t>Rendimientos financieros de depósitos</t>
  </si>
  <si>
    <t>Depósitos - Sobretasa Ambiental Urbano</t>
  </si>
  <si>
    <t>Depósitos - Sobretasa Ambiental Rural</t>
  </si>
  <si>
    <t>Depósitos - Sobretasa Ambiental Areas Metropolitanas</t>
  </si>
  <si>
    <t>Depósitos - Contribución sector eléctrico - Generadores de energía convencional</t>
  </si>
  <si>
    <t>Depósitos - Contribución sector eléctrico - Generadores de energía no convencional</t>
  </si>
  <si>
    <t>Depósitos - Certificaciones y constancias</t>
  </si>
  <si>
    <t xml:space="preserve">Depósitos - Evaluación de licencias y trámites ambientales </t>
  </si>
  <si>
    <t xml:space="preserve">Depósitos - Seguimiento de licencias y trámites ambientales </t>
  </si>
  <si>
    <t>Depósitos -  Tasa por el Uso del Agua</t>
  </si>
  <si>
    <t>Depósitos - Tasa Retributiva</t>
  </si>
  <si>
    <t>Depósitos - Tasa de Aprovechamiento Forestal</t>
  </si>
  <si>
    <t>Depósitos - Tasa compensatoria por caza de fauna silvestre</t>
  </si>
  <si>
    <t>Depósitos -  Sobretasa ambiental - Peajes</t>
  </si>
  <si>
    <t>Depósitos - Tasa Compensatoria por la utilización permanente de la reserva forestal protectora Bosque Oriental de Bogotá</t>
  </si>
  <si>
    <t>15</t>
  </si>
  <si>
    <t>Depósitos - Salvoconducto Unico Nacional</t>
  </si>
  <si>
    <t>16</t>
  </si>
  <si>
    <t>Depósitos - Multas ambientales</t>
  </si>
  <si>
    <t>17</t>
  </si>
  <si>
    <t>Depósitos - Intereses de mora multas y sanciones</t>
  </si>
  <si>
    <t>18</t>
  </si>
  <si>
    <t>Depósitos - Venta de bienes y servicios</t>
  </si>
  <si>
    <t>19</t>
  </si>
  <si>
    <t>Depósitos - Participación ambiental en el porcentaje de recaudo del impuesto predial</t>
  </si>
  <si>
    <t>20</t>
  </si>
  <si>
    <t>Depósitos - Participación de intereses de mora al porcentaje de recaudo del impuesto predial.</t>
  </si>
  <si>
    <t>21</t>
  </si>
  <si>
    <t>Depósitos - Concurrencia pasivo pensional</t>
  </si>
  <si>
    <t>Depósitos - Fallos Nacionales Sentencias</t>
  </si>
  <si>
    <t>23</t>
  </si>
  <si>
    <t>Depósitos - Fallos Nacionales Conciliaciones</t>
  </si>
  <si>
    <t>24</t>
  </si>
  <si>
    <t>Depósitos - Fallos Nacionales Laudos arbitrales</t>
  </si>
  <si>
    <t>25</t>
  </si>
  <si>
    <t>Depósitos - Indemnizaciones relacionadas con seguros no de vida</t>
  </si>
  <si>
    <t>26</t>
  </si>
  <si>
    <t>Depósitos -  Devoluciones seguridad Social Pensiones</t>
  </si>
  <si>
    <t>27</t>
  </si>
  <si>
    <t>Depósitos - Disposición de activos financieros</t>
  </si>
  <si>
    <t>28</t>
  </si>
  <si>
    <t>Depósitos - Disposición de activos no financieros</t>
  </si>
  <si>
    <t>29</t>
  </si>
  <si>
    <t>Depósitos - Sociedades de economía mixta</t>
  </si>
  <si>
    <t>30</t>
  </si>
  <si>
    <t>Depósitos - Dividendos y utilidades por otras inversiones de capital</t>
  </si>
  <si>
    <t>Valores distintos de acciones</t>
  </si>
  <si>
    <t>Cuenta única nacional</t>
  </si>
  <si>
    <t>Intereses por préstamos</t>
  </si>
  <si>
    <t>Rendimientos recursos de terceros</t>
  </si>
  <si>
    <t>Bancos centrales y agencias de gobiernos</t>
  </si>
  <si>
    <t>BID</t>
  </si>
  <si>
    <t>BIRF</t>
  </si>
  <si>
    <t>CAF</t>
  </si>
  <si>
    <t>005</t>
  </si>
  <si>
    <t>FIDA</t>
  </si>
  <si>
    <t>FODI</t>
  </si>
  <si>
    <t>Recursos de crédito externo de otras instituciones financieras</t>
  </si>
  <si>
    <t>Títulos de deuda</t>
  </si>
  <si>
    <t>Bonos</t>
  </si>
  <si>
    <t>Proveedores</t>
  </si>
  <si>
    <t>Banca comercial</t>
  </si>
  <si>
    <t>Nación</t>
  </si>
  <si>
    <t>007</t>
  </si>
  <si>
    <t>Colocación y títulos TES</t>
  </si>
  <si>
    <t>Colocación y títulos TES clase B a corto plazo</t>
  </si>
  <si>
    <t>Colocación y títulos TES clase B a largo plazo</t>
  </si>
  <si>
    <t>Colocación y títulos TES clase A a corto plazo</t>
  </si>
  <si>
    <t>Colocación y títulos TES clase A a largo plazo</t>
  </si>
  <si>
    <t>Bonos y otros títulos emitidos</t>
  </si>
  <si>
    <t>Transferencias de capital</t>
  </si>
  <si>
    <t xml:space="preserve">No condicionadas a la adquisición de un activo </t>
  </si>
  <si>
    <t xml:space="preserve">Condicionadas a la adquisición de un activo </t>
  </si>
  <si>
    <t>De otras entidades del gobierno general</t>
  </si>
  <si>
    <t>Condicionadas a la adquisición de un activo</t>
  </si>
  <si>
    <t>Condicionadas a la disminución de un pasivo</t>
  </si>
  <si>
    <t>Recuperación de cartera - préstamos</t>
  </si>
  <si>
    <t>De entidades del nivel territorial</t>
  </si>
  <si>
    <t>De otras entidades de gobierno</t>
  </si>
  <si>
    <t>De personas naturales</t>
  </si>
  <si>
    <t>De otras empresas</t>
  </si>
  <si>
    <t>Recuperación cuotas partes pensionales</t>
  </si>
  <si>
    <t>Recursos del balance</t>
  </si>
  <si>
    <t>Cancelación reservas</t>
  </si>
  <si>
    <t>Superávit fiscal</t>
  </si>
  <si>
    <t>Mayores ingresos no aforados de la vigencia Anterior</t>
  </si>
  <si>
    <t>Mayores ingresos no aforados de la vigencia Anterior - Sobretasa Ambiental Urbano</t>
  </si>
  <si>
    <t>Mayores ingresos no aforados de la vigencia Anterior - Sobretasa Ambiental Rural</t>
  </si>
  <si>
    <t>Mayores ingresos no aforados de la vigencia Anterior - Sobretasa Ambiental Areas Metropolitanas</t>
  </si>
  <si>
    <t>Mayores ingresos no aforados de la vigencia Anterior - Contribución sector eléctrico - Generadores de energía convencional</t>
  </si>
  <si>
    <t>Mayores ingresos no aforados de la vigencia Anterior - Contribución sector eléctrico - Generadores de energía no convencional</t>
  </si>
  <si>
    <t>Mayores ingresos no aforados de la vigencia Anterior - Certificaciones y constancias</t>
  </si>
  <si>
    <t xml:space="preserve">Mayores ingresos no aforados de la vigencia Anterior - Evaluación de licencias y trámites ambientales </t>
  </si>
  <si>
    <t xml:space="preserve">Mayores ingresos no aforados de la vigencia Anterior - Seguimiento de licencias y trámites ambientales </t>
  </si>
  <si>
    <t>Mayores ingresos no aforados de la vigencia Anterior -  Tasa por el Uso del Agua</t>
  </si>
  <si>
    <t>Mayores ingresos no aforados de la vigencia Anterior - Tasa Retributiba</t>
  </si>
  <si>
    <t>Mayores ingresos no aforados de la vigencia Anterior - Tasa de Aprovechamiento Forestal</t>
  </si>
  <si>
    <t>Mayores ingresos no aforados de la vigencia Anterior - Tasa compensatoria por caza de fauna silvestre</t>
  </si>
  <si>
    <t>Mayores ingresos no aforados de la vigencia Anterior -  Sobretasa ambiental - Peajes</t>
  </si>
  <si>
    <t>Mayores ingresos no aforados de la vigencia Anterior - Tasa Compensatoria por la utilización permanente de la reserva forestal protectora Bosque Oriental de Bogotá</t>
  </si>
  <si>
    <t>Mayores ingresos no aforados de la vigencia Anterior - Salvoconducto Unico Nacional</t>
  </si>
  <si>
    <t>Mayores ingresos no aforados de la vigencia Anterior - Multas ambientales</t>
  </si>
  <si>
    <t>Mayores ingresos no aforados de la vigencia Anterior - Intereses de mora multas y sanciones</t>
  </si>
  <si>
    <t>Mayores ingresos no aforados de la vigencia Anterior - Venta de bienes y servicios</t>
  </si>
  <si>
    <t>Mayores ingresos no aforados de la vigencia Anterior - Participación ambiental en el porcentaje de recaudo del impuesto predial</t>
  </si>
  <si>
    <t>Mayores ingresos no aforados de la vigencia Anterior - Participación de intereses de mora al porcentaje de recaudo del impuesto predial.</t>
  </si>
  <si>
    <t>Mayores ingresos no aforados de la vigencia Anterior - Concurrencia pasivo pensional</t>
  </si>
  <si>
    <t>Mayores ingresos no aforados de la vigencia Anterior - Fallos Nacionales Sentencias</t>
  </si>
  <si>
    <t>Mayores ingresos no aforados de la vigencia Anterior - Fallos Nacionales Conciliaciones</t>
  </si>
  <si>
    <t>Mayores ingresos no aforados de la vigencia Anterior - Fallos Nacionales Laudos arbitrales</t>
  </si>
  <si>
    <t>Mayores ingresos no aforados de la vigencia Anterior - Indemnizaciones relacionadas con seguros no de vida</t>
  </si>
  <si>
    <t>Mayores ingresos no aforados de la vigencia Anterior -  Devoluciones seguridad Social Pensiones</t>
  </si>
  <si>
    <t>Mayores ingresos no aforados de la vigencia Anterior - Disposición de activos financieros</t>
  </si>
  <si>
    <t>Mayores ingresos no aforados de la vigencia Anterior - Disposición de activos no financieros</t>
  </si>
  <si>
    <t>Mayores ingresos no aforados de la vigencia Anterior - Sociedades de economía mixta</t>
  </si>
  <si>
    <t>Mayores ingresos no aforados de la vigencia Anterior - Dividendos y utilidades por otras inversiones de capital</t>
  </si>
  <si>
    <t>31</t>
  </si>
  <si>
    <t>Mayores ingresos no aforados de la vigencia Anterior -  Rendimientos Financieros</t>
  </si>
  <si>
    <t>32</t>
  </si>
  <si>
    <t>Mayores ingresos no aforados de la vigencia Anterior -  Recuperación de Cartera</t>
  </si>
  <si>
    <t>Compromisos presupuestales cancelados vigencia anterior</t>
  </si>
  <si>
    <t>Compromisos presupuestales cancelados vigencia anterior - Sobretasa Ambiental Urbano</t>
  </si>
  <si>
    <t>Compromisos presupuestales cancelados vigencia anterior - Sobretasa Ambiental Rural</t>
  </si>
  <si>
    <t>Compromisos presupuestales cancelados vigencia anterior - Sobretasa Ambiental Areas Metropolitanas</t>
  </si>
  <si>
    <t>Compromisos presupuestales cancelados vigencia anterior - Contribución sector eléctrico - Generadores de energía convencional</t>
  </si>
  <si>
    <t>Compromisos presupuestales cancelados vigencia anterior - Contribución sector eléctrico - Generadores de energía no convencional</t>
  </si>
  <si>
    <t>Compromisos presupuestales cancelados vigencia anterior - Certificaciones y constancias</t>
  </si>
  <si>
    <t xml:space="preserve">Compromisos presupuestales cancelados vigencia anterior - Evaluación de licencias y trámites ambientales </t>
  </si>
  <si>
    <t xml:space="preserve">Compromisos presupuestales cancelados vigencia anterior - Seguimiento de licencias y trámites ambientales </t>
  </si>
  <si>
    <t>Compromisos presupuestales cancelados vigencia anterior -  Tasa por el Uso del Agua</t>
  </si>
  <si>
    <t>Compromisos presupuestales cancelados vigencia anterior - Tasa Retributiba</t>
  </si>
  <si>
    <t>Compromisos presupuestales cancelados vigencia anterior - Tasa de Aprovechamiento Forestal</t>
  </si>
  <si>
    <t>Compromisos presupuestales cancelados vigencia anterior - Tasa compensatoria por caza de fauna silvestre</t>
  </si>
  <si>
    <t>Compromisos presupuestales cancelados vigencia anterior -  Sobretasa ambiental - Peajes</t>
  </si>
  <si>
    <t>Compromisos presupuestales cancelados vigencia anterior - Tasa Compensatoria por la utilización permanente de la reserva forestal protectora Bosque Oriental de Bogotá</t>
  </si>
  <si>
    <t>Compromisos presupuestales cancelados vigencia anterior - Salvoconducto Unico Nacional</t>
  </si>
  <si>
    <t>Compromisos presupuestales cancelados vigencia anterior - Multas ambientales</t>
  </si>
  <si>
    <t>Compromisos presupuestales cancelados vigencia anterior - Intereses de mora multas y sanciones</t>
  </si>
  <si>
    <t>Compromisos presupuestales cancelados vigencia anterior - Venta de bienes y servicios</t>
  </si>
  <si>
    <t>Compromisos presupuestales cancelados vigencia anterior - Participación ambiental en el porcentaje de recaudo del impuesto predial</t>
  </si>
  <si>
    <t>Compromisos presupuestales cancelados vigencia anterior - Participación de intereses de mora al porcentaje de recaudo del impuesto predial.</t>
  </si>
  <si>
    <t>Compromisos presupuestales cancelados vigencia anterior - Concurrencia pasivo pensional</t>
  </si>
  <si>
    <t>Compromisos presupuestales cancelados vigencia anterior - Fallos Nacionales Sentencias</t>
  </si>
  <si>
    <t>Compromisos presupuestales cancelados vigencia anterior - Fallos Nacionales Conciliaciones</t>
  </si>
  <si>
    <t>Compromisos presupuestales cancelados vigencia anterior - Fallos Nacionales Laudos arbitrales</t>
  </si>
  <si>
    <t>Compromisos presupuestales cancelados vigencia anterior - Indemnizaciones relacionadas con seguros no de vida</t>
  </si>
  <si>
    <t>Compromisos presupuestales cancelados vigencia anterior -  Devoluciones seguridad Social Pensiones</t>
  </si>
  <si>
    <t>Compromisos presupuestales cancelados vigencia anterior - Disposición de activos financieros</t>
  </si>
  <si>
    <t>Compromisos presupuestales cancelados vigencia anterior - Disposición de activos no financieros</t>
  </si>
  <si>
    <t>Compromisos presupuestales cancelados vigencia anterior - Sociedades de economía mixta</t>
  </si>
  <si>
    <t>Compromisos presupuestales cancelados vigencia anterior - Dividendos y utilidades por otras inversiones de capital</t>
  </si>
  <si>
    <t>Compromisos presupuestales cancelados vigencia anterior -  Rendimientos Financieros</t>
  </si>
  <si>
    <t>Excedentes de apropiación de gastos vigencia anterior</t>
  </si>
  <si>
    <t>Excedentes de apropiación de gastos vigencia anterior - Sobretasa Ambiental Urbano</t>
  </si>
  <si>
    <t>Excedentes de apropiación de gastos vigencia anterior - Sobretasa Ambiental Rural</t>
  </si>
  <si>
    <t>Excedentes de apropiación de gastos vigencia anterior - Sobretasa Ambiental Areas Metropolitanas</t>
  </si>
  <si>
    <t>Excedentes de apropiación de gastos vigencia anterior - Contribución sector eléctrico - Generadores de energía convencional</t>
  </si>
  <si>
    <t>Excedentes de apropiación de gastos vigencia anterior - Contribución sector eléctrico - Generadores de energía no convencional</t>
  </si>
  <si>
    <t>Excedentes de apropiación de gastos vigencia anterior - Certificaciones y constancias</t>
  </si>
  <si>
    <t xml:space="preserve">Excedentes de apropiación de gastos vigencia anterior - Evaluación de licencias y trámites ambientales </t>
  </si>
  <si>
    <t xml:space="preserve">Excedentes de apropiación de gastos vigencia anterior - Seguimiento de licencias y trámites ambientales </t>
  </si>
  <si>
    <t>Excedentes de apropiación de gastos vigencia anterior -  Tasa por el Uso del Agua</t>
  </si>
  <si>
    <t>Excedentes de apropiación de gastos vigencia anterior - Tasa Retributiba</t>
  </si>
  <si>
    <t>Excedentes de apropiación de gastos vigencia anterior - Tasa de Aprovechamiento Forestal</t>
  </si>
  <si>
    <t>Excedentes de apropiación de gastos vigencia anterior - Tasa compensatoria por caza de fauna silvestre</t>
  </si>
  <si>
    <t>Excedentes de apropiación de gastos vigencia anterior -  Sobretasa ambiental - Peajes</t>
  </si>
  <si>
    <t>Excedentes de apropiación de gastos vigencia anterior - Tasa Compensatoria por la utilización permanente de la reserva forestal protectora Bosque Oriental de Bogotá</t>
  </si>
  <si>
    <t>Excedentes de apropiación de gastos vigencia anterior - Salvoconducto Unico Nacional</t>
  </si>
  <si>
    <t>Excedentes de apropiación de gastos vigencia anterior - Multas ambientales</t>
  </si>
  <si>
    <t>Excedentes de apropiación de gastos vigencia anterior - Intereses de mora multas y sanciones</t>
  </si>
  <si>
    <t>Excedentes de apropiación de gastos vigencia anterior - Venta de bienes y servicios</t>
  </si>
  <si>
    <t>Excedentes de apropiación de gastos vigencia anterior - Participación ambiental en el porcentaje de recaudo del impuesto predial</t>
  </si>
  <si>
    <t>Excedentes de apropiación de gastos vigencia anterior - Participación de intereses de mora al porcentaje de recaudo del impuesto predial.</t>
  </si>
  <si>
    <t>Excedentes de apropiación de gastos vigencia anterior - Concurrencia pasivo pensional</t>
  </si>
  <si>
    <t>Excedentes de apropiación de gastos vigencia anterior - Fallos Nacionales Sentencias</t>
  </si>
  <si>
    <t>Excedentes de apropiación de gastos vigencia anterior - Fallos Nacionales Conciliaciones</t>
  </si>
  <si>
    <t>Excedentes de apropiación de gastos vigencia anterior - Fallos Nacionales Laudos arbitrales</t>
  </si>
  <si>
    <t>Excedentes de apropiación de gastos vigencia anterior - Indemnizaciones relacionadas con seguros no de vida</t>
  </si>
  <si>
    <t>Excedentes de apropiación de gastos vigencia anterior -  Devoluciones seguridad Social Pensiones</t>
  </si>
  <si>
    <t>Excedentes de apropiación de gastos vigencia anterior - Disposición de activos financieros</t>
  </si>
  <si>
    <t>Excedentes de apropiación de gastos vigencia anterior - Disposición de activos no financieros</t>
  </si>
  <si>
    <t>Excedentes de apropiación de gastos vigencia anterior - Sociedades de economía mixta</t>
  </si>
  <si>
    <t>Excedentes de apropiación de gastos vigencia anterior - Dividendos y utilidades por otras inversiones de capital</t>
  </si>
  <si>
    <t>Excedentes de apropiación de gastos vigencia anterior -  Rendimientos Financieros</t>
  </si>
  <si>
    <t>Reintegros y otros recursos no apropiados</t>
  </si>
  <si>
    <t>Reintegros</t>
  </si>
  <si>
    <t>Recursos no apropiados</t>
  </si>
  <si>
    <t>Aportes de la Nación para Gastos por tributo, multas, sanciones e intereses de mora.</t>
  </si>
  <si>
    <t>Aportes de la Nación para Servicio de la Deuda</t>
  </si>
  <si>
    <t>Servicio de la deuda pública interna</t>
  </si>
  <si>
    <t>5</t>
  </si>
  <si>
    <t>Incapacidades y lincencias de maternidad y paternidad (no de pensiones)</t>
  </si>
  <si>
    <t>Impuesto predial unificado</t>
  </si>
  <si>
    <t>Préstamos-Banca comercial</t>
  </si>
  <si>
    <t>Asesorar y/o implementar los Proyectos Ambientales Escolares - PRAES de las instituciones educativas en el departamento del Magdalena</t>
  </si>
  <si>
    <t>Articulación interinstitucional para formulación e implementación de Proyectos Ciudadanos de Educación Ambiental - PROCEDA</t>
  </si>
  <si>
    <t>Fortalecer la educación ambiental y el desarrollo sostenible a través de las TICS</t>
  </si>
  <si>
    <t>Sensibilizar y capacitar a las comunidades e instituciones en temáticas ambiental que promueven el mejoramiento de la cultura ambiental</t>
  </si>
  <si>
    <t>Identificación y fortalecimiento a Líderes ambientales</t>
  </si>
  <si>
    <t>Implementación de campañas de educación ambiental</t>
  </si>
  <si>
    <t>(B) Restructuración de la ventanilla y consolidación del Nodo de Negocios Verdes</t>
  </si>
  <si>
    <t>Apoyar en el Fortalecimiento de la capacidad productiva de las asociaciones de pescadores y agricultores en la CGSM</t>
  </si>
  <si>
    <t>Implementar proyectos productivos sostenibles</t>
  </si>
  <si>
    <t>Implementación del plan de gestión integral de residuos peligrosos 2020-2030</t>
  </si>
  <si>
    <t>Gestión de trámites ambientales</t>
  </si>
  <si>
    <t>Seguimiento a autorizaciones ambientales</t>
  </si>
  <si>
    <t>Implementación acciones de la Política para la gestión sostenible del suelo</t>
  </si>
  <si>
    <t>Operativizar el Sistema de Vigilancia de la Calidad del Aire - SVCA</t>
  </si>
  <si>
    <t>Automatización del Sistema de Vigilancia de la Calidad del Aire - SVCA</t>
  </si>
  <si>
    <t>Recuperación, conservación y mantenimiento de los caños de la Ciénaga Grande de Santa Marta</t>
  </si>
  <si>
    <t>Restauración, protección y conservación de áreas estratégicas para la regulación hídrica</t>
  </si>
  <si>
    <t>Establecimiento y mantenimiento de árboles en el departamento</t>
  </si>
  <si>
    <t>Implementar acciones para fortalecimiento del Centro de Atención y Valoración de Fauna Silvestre y el Centro de Atención, Valoración y Rehabilitación de la fauna silvestre marina del Magdalena- CAVR</t>
  </si>
  <si>
    <t>Monitoreo de las condiciones ambientales de la Ciénaga Grande de Santa Marta</t>
  </si>
  <si>
    <t>Implementación de acciones priorizadas en el marco del sistema de áreas protegidas y otras estrategias complementarias para la conservación</t>
  </si>
  <si>
    <t>(B) Formular y adoptar Planes de Ordenamiento del Recurso Hídrico - PORH en corrientes priorizadas del departamento</t>
  </si>
  <si>
    <t>Implementar Planes Operativos de los POMCA adoptados en el departamento</t>
  </si>
  <si>
    <t>Control y seguimiento de aguas superficiales y vertimientos en las 14 cuencas con objetivos de calidad</t>
  </si>
  <si>
    <t>Monitoreo de Control y seguimientos a los objetivos de calidad de aguas marinas</t>
  </si>
  <si>
    <t>(A) Priorizar y reglamentar vertimientos en cuerpos de agua</t>
  </si>
  <si>
    <t>Reglamentar las corrientes priorizadas en el departamento</t>
  </si>
  <si>
    <t>Actualizar objetivos de calidad por tramos en cuerpos de agua priorizados</t>
  </si>
  <si>
    <t>Fortalecer la gestión de información ambiental de los recursos naturales</t>
  </si>
  <si>
    <t>(B) Adopción y Actualización de las determinantes ambientales para su incorporación en instrumentos de planeación y Ordenamiento Territorial</t>
  </si>
  <si>
    <t>Formulación del Plan de Ordenación Forestal</t>
  </si>
  <si>
    <t>Realizar estudio para el acotamiento de rondas hídricas en cuerpos de agua priorizados</t>
  </si>
  <si>
    <t>Implementar acciones en torno a la estrategia de corresponsabilidad y lineamientos para la prevención de incendios forestales</t>
  </si>
  <si>
    <t>Obras de recuperación de humedales y cuerpos de agua para la mitigación del riesgo</t>
  </si>
  <si>
    <t>Formular proyectos para la gestión del riesgo en el departamento del Magdalena</t>
  </si>
  <si>
    <t>Implementar estufas eficientes para cocción con leña y huertos leñeros</t>
  </si>
  <si>
    <t>Implementar sistemas Agroforestales y/o Silvopastoriles en áreas priorizadas</t>
  </si>
  <si>
    <t>Elaboración de estudios base para la zonificación y ordenación de pastos marinos en el departamento</t>
  </si>
  <si>
    <t>Implementación y fortalecimiento de los Sistemas de Información Administrativos y de Gestión Ambiental</t>
  </si>
  <si>
    <t>Fortalecimiento de la estructura física, tecnológica y modernización institucional</t>
  </si>
  <si>
    <t>9.3 Gestión de las comunicaciones.</t>
  </si>
  <si>
    <t>Elaborar e implementar Plan de comunicaciones y Plan de medios</t>
  </si>
  <si>
    <t>Formulación y ejecución del Plan de previsión de los recursos humanos</t>
  </si>
  <si>
    <t>3.5 Implementación de acciones orientadas a la conservación de la biodiversidad en áreas ambientales estrategiícas del municipio de Aracataca pertenecientes a la cuenca media del río Fundación, Magdalena.</t>
  </si>
  <si>
    <t>EJECUCION SAFIX</t>
  </si>
  <si>
    <t>RECURSOS DE CREDITO INTERNO-Otras instituciones financieras</t>
  </si>
  <si>
    <t>Depósitos -  Conribución Sector Eléctrico</t>
  </si>
  <si>
    <t>Depósitos -  Evaluciones</t>
  </si>
  <si>
    <t>RECURSOS APROPIADOS 2022</t>
  </si>
  <si>
    <r>
      <t xml:space="preserve">TOTAL GASTOS DE INVERSIÓN </t>
    </r>
    <r>
      <rPr>
        <b/>
        <sz val="10"/>
        <color indexed="10"/>
        <rFont val="Arial Narrow"/>
        <family val="2"/>
      </rPr>
      <t>(inserte filas cuando sea necesario)</t>
    </r>
  </si>
  <si>
    <t>2.4.2 Gestión de tramites ambientales</t>
  </si>
  <si>
    <t>4.2.4 (A) Priorizar y reglamentar vertimientos en cuerpos de agua</t>
  </si>
  <si>
    <t>9.3 GESTIÓN DE LAS COMUNICACIONES</t>
  </si>
  <si>
    <t>TOTAL PRESUPUESTO DE GASTOS DE INVERSIÓN</t>
  </si>
  <si>
    <t>INFORMACIÓN INGRESOS 2022</t>
  </si>
  <si>
    <t>CONTROL APROPIADO FUENTE</t>
  </si>
  <si>
    <t>(4A)
AVANCE DEL REZAGO DE LA META
FISICA 
(Según unidad de medida y Periodo Evaluado)</t>
  </si>
  <si>
    <t>(5-A) DESCRIPCIÓN DEL AVANCE 
(Se puede describir en texto lo que se desea aclarar del avance númerico respectivo)</t>
  </si>
  <si>
    <t xml:space="preserve">(6) FECHA DE EJECUCION DE  LA EVIDENCIA </t>
  </si>
  <si>
    <t>(9)
PORCENTAJE DE AVANCE PROCESO DE GESTION DE LA META
FISICA
(aplica unicamente para el informe del primer semestre)</t>
  </si>
  <si>
    <t>Se reporta el valor del IEDI vigencia 2019, en la columna 2020 y IEDI vigencia 2020 en la columna 2021, debido a que el resultado del indicador se entrega por parte del MADS en el primer semestre de la vigencia siguiente a su medición</t>
  </si>
  <si>
    <t xml:space="preserve">(18)
AVANCE DE LOS RECURSOS OBLIGADOS
($)
</t>
  </si>
  <si>
    <t>(19) PORCENTAJE DE AVANCE DE LOS FINANCIERO ((18/15)*100)</t>
  </si>
  <si>
    <t xml:space="preserve">(20) RESERVA PRESUPUESTAL $
(16-18)
</t>
  </si>
  <si>
    <t>(21) RESERVA PRESUPUESTAL DEL 2020
$</t>
  </si>
  <si>
    <t>(21-A) OBLIGACIONES DE LA RESERVA 2020
 $</t>
  </si>
  <si>
    <t>(21) RESERVA PRESUPUESTAL DEL 2021
$</t>
  </si>
  <si>
    <t>(21-A) OBLIGACIONES DE LA RESERVA 2021
 $</t>
  </si>
  <si>
    <t>(21-B) PORCENTAJE DE AVANCE EJECUCIÓN DE LA RESERVA $
(21-A/21)</t>
  </si>
  <si>
    <t>3.5.1.Implementación de acciones orientadas a la conservación de la biodiversidad en áreas ambientales estrategiícas del municipio de Aracataca pertenecientes a la cuenca media del río Fundación, Magdalena.</t>
  </si>
  <si>
    <t>Implementación de acciones orientadas a la conservación de la biodiversidad en áreas ambientales estrategiícas del municipio de Aracataca pertenecientes a la cuenca media del río Fundación, Magdalena.</t>
  </si>
  <si>
    <t>9.4 Gestión del talento humano.</t>
  </si>
  <si>
    <t>3.5 IMPLEMENTACIÓN DE ACCIONES ORIETADAS A LA CONSERVACIÓN DE LA BIODIVERSIDAD EN  ÁREAS AMBIENTALES ESTRATEGICAS DEL MUNICIPIO DE ARACATACA PERTENECIENTES A LA CUENCA MEDIA DEL RIO FUNCACIÓN, MAGDALENA.</t>
  </si>
  <si>
    <t>Se realizó el proceso de Incrispción en el RUNAP de 25.574 ha del Distrito Regional de Manejo Integrado (DRMI) Complejo Cenagoso de Zapatosa CCZ en jurisdicción de el departamento del Magdalena, de acuerdo a la estructura programatica del PAI 2020-2023, este IMG no tiene meta para la vigencia 2022.</t>
  </si>
  <si>
    <t>De acuerdo a la estructura programatica del PAI 2020-2023, este IMG no tiene meta para la vigencia 2022, Acuerdo 024 de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</si>
</sst>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 #,##0_-;_-* &quot;-&quot;_-;_-@_-"/>
    <numFmt numFmtId="43" formatCode="_-* #,##0.00_-;\-* #,##0.00_-;_-* &quot;-&quot;??_-;_-@_-"/>
    <numFmt numFmtId="164" formatCode="_(* #,##0.00_);_(* \(#,##0.00\);_(* &quot;-&quot;??_);_(@_)"/>
    <numFmt numFmtId="165" formatCode="0.0"/>
    <numFmt numFmtId="166" formatCode="_-* #,##0_-;\-* #,##0_-;_-* &quot;-&quot;??_-;_-@_-"/>
    <numFmt numFmtId="167" formatCode="_(* #,##0_);_(* \(#,##0\);_(* &quot;-&quot;??_);_(@_)"/>
    <numFmt numFmtId="168" formatCode="_ * #,##0.00_ ;_ * \-#,##0.00_ ;_ * &quot;-&quot;??_ ;_ @_ "/>
    <numFmt numFmtId="169" formatCode="_ * #,##0_ ;_ * \-#,##0_ ;_ * &quot;-&quot;??_ ;_ @_ "/>
    <numFmt numFmtId="170" formatCode="0.0%"/>
    <numFmt numFmtId="171" formatCode="_(* #,##0.000_);_(* \(#,##0.000\);_(* &quot;-&quot;???_);_(@_)"/>
    <numFmt numFmtId="172" formatCode="_(* #,##0.000_);_(* \(#,##0.000\);_(* &quot;-&quot;??_);_(@_)"/>
    <numFmt numFmtId="173" formatCode="0.00000000000%"/>
    <numFmt numFmtId="174" formatCode="0.0000000000%"/>
    <numFmt numFmtId="175" formatCode="0.000000000%"/>
    <numFmt numFmtId="176" formatCode="_(* #,##0.00_);_(* \(#,##0.00\);_(* &quot;-&quot;???_);_(@_)"/>
    <numFmt numFmtId="177" formatCode="_-* #,##0.000_-;\-* #,##0.000_-;_-* &quot;-&quot;???_-;_-@_-"/>
    <numFmt numFmtId="178" formatCode="_-* #,##0.00\ _€_-;\-* #,##0.00\ _€_-;_-* &quot;-&quot;??\ _€_-;_-@_-"/>
    <numFmt numFmtId="179" formatCode="[$$-240A]\ #,##0.00"/>
    <numFmt numFmtId="180" formatCode="[$$-240A]\ #,##0"/>
  </numFmts>
  <fonts count="73" x14ac:knownFonts="1">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18"/>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color indexed="10"/>
      <name val="Arial Narrow"/>
      <family val="2"/>
    </font>
    <font>
      <b/>
      <sz val="11"/>
      <name val="Arial Narrow"/>
      <family val="2"/>
    </font>
    <font>
      <b/>
      <sz val="8"/>
      <name val="Arial Narrow"/>
      <family val="2"/>
    </font>
    <font>
      <sz val="8"/>
      <name val="Arial Narrow"/>
      <family val="2"/>
    </font>
    <font>
      <b/>
      <sz val="9"/>
      <name val="Arial Narrow"/>
      <family val="2"/>
    </font>
    <font>
      <b/>
      <sz val="7"/>
      <name val="Arial Narrow"/>
      <family val="2"/>
    </font>
    <font>
      <sz val="7"/>
      <name val="Arial Narrow"/>
      <family val="2"/>
    </font>
    <font>
      <u/>
      <sz val="7"/>
      <name val="Arial Narrow"/>
      <family val="2"/>
    </font>
    <font>
      <b/>
      <sz val="11"/>
      <color theme="1"/>
      <name val="Arial Narrow"/>
      <family val="2"/>
    </font>
    <font>
      <b/>
      <sz val="9"/>
      <color theme="1"/>
      <name val="Verdana"/>
      <family val="2"/>
    </font>
    <font>
      <b/>
      <sz val="9"/>
      <name val="Verdana"/>
      <family val="2"/>
    </font>
    <font>
      <sz val="9"/>
      <color theme="1"/>
      <name val="Verdana"/>
      <family val="2"/>
    </font>
    <font>
      <b/>
      <sz val="9"/>
      <color rgb="FF000000"/>
      <name val="Verdana"/>
      <family val="2"/>
    </font>
    <font>
      <sz val="11"/>
      <name val="Calibri"/>
      <family val="2"/>
    </font>
    <font>
      <sz val="11"/>
      <color rgb="FF000000"/>
      <name val="Calibri"/>
      <family val="2"/>
    </font>
    <font>
      <sz val="9"/>
      <name val="Verdana"/>
      <family val="2"/>
    </font>
    <font>
      <sz val="9"/>
      <color rgb="FF000000"/>
      <name val="Verdana"/>
      <family val="2"/>
    </font>
    <font>
      <b/>
      <sz val="11"/>
      <color rgb="FF000000"/>
      <name val="Calibri"/>
      <family val="2"/>
    </font>
    <font>
      <b/>
      <sz val="10"/>
      <color rgb="FF000000"/>
      <name val="Arial Narrow"/>
      <family val="2"/>
    </font>
    <font>
      <b/>
      <sz val="10"/>
      <color rgb="FFFFFFFF"/>
      <name val="Arial Narrow"/>
      <family val="2"/>
    </font>
    <font>
      <sz val="10"/>
      <color theme="1"/>
      <name val="Arial Narrow"/>
      <family val="2"/>
    </font>
    <font>
      <sz val="10"/>
      <color rgb="FF000000"/>
      <name val="Arial Narrow"/>
      <family val="2"/>
    </font>
    <font>
      <b/>
      <sz val="10"/>
      <color indexed="8"/>
      <name val="Arial Narrow"/>
      <family val="2"/>
    </font>
    <font>
      <sz val="9"/>
      <name val="Arial"/>
      <family val="2"/>
    </font>
    <font>
      <b/>
      <sz val="9"/>
      <color indexed="81"/>
      <name val="Tahoma"/>
      <family val="2"/>
    </font>
    <font>
      <sz val="9"/>
      <color indexed="81"/>
      <name val="Tahoma"/>
      <family val="2"/>
    </font>
    <font>
      <sz val="12"/>
      <color theme="1"/>
      <name val="Calibri"/>
      <family val="2"/>
      <scheme val="minor"/>
    </font>
    <font>
      <b/>
      <sz val="10"/>
      <color theme="1"/>
      <name val="Calibri"/>
      <family val="2"/>
      <scheme val="minor"/>
    </font>
    <font>
      <sz val="10"/>
      <color theme="1"/>
      <name val="Arial"/>
      <family val="2"/>
    </font>
    <font>
      <b/>
      <sz val="7"/>
      <color rgb="FFFF0000"/>
      <name val="Arial Narrow"/>
      <family val="2"/>
    </font>
    <font>
      <sz val="7"/>
      <color rgb="FFFF0000"/>
      <name val="Arial Narrow"/>
      <family val="2"/>
    </font>
    <font>
      <b/>
      <sz val="10"/>
      <color rgb="FFFF0000"/>
      <name val="Arial Narrow"/>
      <family val="2"/>
    </font>
    <font>
      <b/>
      <sz val="9"/>
      <color rgb="FFFF0000"/>
      <name val="Verdana"/>
      <family val="2"/>
    </font>
    <font>
      <sz val="12"/>
      <color theme="1"/>
      <name val="Verdana"/>
      <family val="2"/>
    </font>
    <font>
      <sz val="8"/>
      <name val="Calibri"/>
      <family val="2"/>
      <scheme val="minor"/>
    </font>
    <font>
      <sz val="9"/>
      <name val="Arial Narrow"/>
      <family val="2"/>
    </font>
    <font>
      <sz val="8"/>
      <name val="Verdana"/>
      <family val="2"/>
    </font>
    <font>
      <b/>
      <sz val="14"/>
      <color theme="1"/>
      <name val="Arial Narrow"/>
      <family val="2"/>
    </font>
    <font>
      <sz val="14"/>
      <color theme="1"/>
      <name val="Arial Narrow"/>
      <family val="2"/>
    </font>
  </fonts>
  <fills count="56">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1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92D050"/>
        <bgColor rgb="FF92D050"/>
      </patternFill>
    </fill>
    <fill>
      <patternFill patternType="solid">
        <fgColor rgb="FFE2EFD9"/>
        <bgColor rgb="FFE2EFD9"/>
      </patternFill>
    </fill>
    <fill>
      <patternFill patternType="solid">
        <fgColor rgb="FFA8D08D"/>
        <bgColor rgb="FFA8D08D"/>
      </patternFill>
    </fill>
    <fill>
      <patternFill patternType="solid">
        <fgColor rgb="FFC5E0B3"/>
        <bgColor rgb="FFC5E0B3"/>
      </patternFill>
    </fill>
    <fill>
      <patternFill patternType="solid">
        <fgColor rgb="FF70AD47"/>
        <bgColor rgb="FF70AD47"/>
      </patternFill>
    </fill>
    <fill>
      <patternFill patternType="solid">
        <fgColor indexed="11"/>
        <bgColor indexed="64"/>
      </patternFill>
    </fill>
    <fill>
      <patternFill patternType="solid">
        <fgColor theme="0"/>
        <bgColor rgb="FFC5E0B3"/>
      </patternFill>
    </fill>
    <fill>
      <patternFill patternType="solid">
        <fgColor rgb="FFFFFF00"/>
        <bgColor rgb="FF000000"/>
      </patternFill>
    </fill>
    <fill>
      <patternFill patternType="solid">
        <fgColor theme="2" tint="-0.499984740745262"/>
        <bgColor indexed="64"/>
      </patternFill>
    </fill>
    <fill>
      <patternFill patternType="solid">
        <fgColor rgb="FF99FF99"/>
        <bgColor indexed="64"/>
      </patternFill>
    </fill>
    <fill>
      <patternFill patternType="solid">
        <fgColor rgb="FFCCFFCC"/>
        <bgColor rgb="FFA8D08D"/>
      </patternFill>
    </fill>
    <fill>
      <patternFill patternType="solid">
        <fgColor rgb="FFCCFFCC"/>
        <bgColor indexed="64"/>
      </patternFill>
    </fill>
    <fill>
      <patternFill patternType="solid">
        <fgColor rgb="FF66FF66"/>
        <bgColor rgb="FFA8D08D"/>
      </patternFill>
    </fill>
    <fill>
      <patternFill patternType="solid">
        <fgColor rgb="FF66FF66"/>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EFF6FB"/>
        <bgColor indexed="64"/>
      </patternFill>
    </fill>
    <fill>
      <patternFill patternType="solid">
        <fgColor theme="7" tint="0.79998168889431442"/>
        <bgColor rgb="FFA8D08D"/>
      </patternFill>
    </fill>
    <fill>
      <patternFill patternType="solid">
        <fgColor rgb="FFFFFFCC"/>
        <bgColor rgb="FFA8D08D"/>
      </patternFill>
    </fill>
    <fill>
      <patternFill patternType="solid">
        <fgColor rgb="FFFFFFCC"/>
        <bgColor indexed="64"/>
      </patternFill>
    </fill>
    <fill>
      <patternFill patternType="solid">
        <fgColor theme="9" tint="0.39997558519241921"/>
        <bgColor rgb="FFC5E0B3"/>
      </patternFill>
    </fill>
    <fill>
      <patternFill patternType="solid">
        <fgColor theme="9" tint="0.59999389629810485"/>
        <bgColor rgb="FFC5E0B3"/>
      </patternFill>
    </fill>
    <fill>
      <patternFill patternType="solid">
        <fgColor rgb="FF92D050"/>
        <bgColor indexed="64"/>
      </patternFill>
    </fill>
    <fill>
      <patternFill patternType="solid">
        <fgColor theme="9" tint="0.39997558519241921"/>
        <bgColor rgb="FFA8D08D"/>
      </patternFill>
    </fill>
    <fill>
      <patternFill patternType="solid">
        <fgColor theme="9" tint="0.39997558519241921"/>
        <bgColor rgb="FFE2EFD9"/>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59999389629810485"/>
        <bgColor rgb="FFE2EFD9"/>
      </patternFill>
    </fill>
    <fill>
      <patternFill patternType="solid">
        <fgColor theme="9" tint="0.79998168889431442"/>
        <bgColor rgb="FFA8D08D"/>
      </patternFill>
    </fill>
    <fill>
      <patternFill patternType="solid">
        <fgColor theme="0"/>
        <bgColor rgb="FFE2EFD9"/>
      </patternFill>
    </fill>
    <fill>
      <patternFill patternType="solid">
        <fgColor rgb="FF00B0F0"/>
        <bgColor indexed="64"/>
      </patternFill>
    </fill>
    <fill>
      <patternFill patternType="solid">
        <fgColor theme="9" tint="0.79998168889431442"/>
        <bgColor rgb="FFE2EFD9"/>
      </patternFill>
    </fill>
  </fills>
  <borders count="71">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8"/>
      </right>
      <top style="medium">
        <color indexed="64"/>
      </top>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double">
        <color rgb="FF000000"/>
      </left>
      <right/>
      <top style="double">
        <color rgb="FF000000"/>
      </top>
      <bottom/>
      <diagonal/>
    </border>
    <border>
      <left style="double">
        <color rgb="FF000000"/>
      </left>
      <right style="double">
        <color rgb="FF000000"/>
      </right>
      <top/>
      <bottom/>
      <diagonal/>
    </border>
  </borders>
  <cellStyleXfs count="19">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32" fillId="0" borderId="0"/>
    <xf numFmtId="168" fontId="32" fillId="0" borderId="0" applyFont="0" applyFill="0" applyBorder="0" applyAlignment="0" applyProtection="0"/>
    <xf numFmtId="41" fontId="21" fillId="0" borderId="0" applyFont="0" applyFill="0" applyBorder="0" applyAlignment="0" applyProtection="0"/>
    <xf numFmtId="164"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60" fillId="0" borderId="0" applyFont="0" applyFill="0" applyBorder="0" applyAlignment="0" applyProtection="0"/>
    <xf numFmtId="0" fontId="21" fillId="0" borderId="0"/>
    <xf numFmtId="9" fontId="21" fillId="0" borderId="0" applyFont="0" applyFill="0" applyBorder="0" applyAlignment="0" applyProtection="0"/>
  </cellStyleXfs>
  <cellXfs count="1234">
    <xf numFmtId="0" fontId="0" fillId="0" borderId="0" xfId="0"/>
    <xf numFmtId="0" fontId="4" fillId="0" borderId="0" xfId="0" applyFont="1" applyAlignment="1">
      <alignment vertical="top"/>
    </xf>
    <xf numFmtId="0" fontId="4" fillId="0" borderId="8" xfId="0" applyFont="1" applyBorder="1" applyAlignment="1">
      <alignment horizontal="center" vertical="top" wrapText="1"/>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4" fillId="0" borderId="0" xfId="0" applyFont="1" applyAlignment="1" applyProtection="1">
      <alignment vertical="top"/>
      <protection locked="0"/>
    </xf>
    <xf numFmtId="0" fontId="4" fillId="0" borderId="8" xfId="0" applyFont="1" applyBorder="1" applyAlignment="1" applyProtection="1">
      <alignment horizontal="center" vertical="top" wrapText="1"/>
      <protection locked="0"/>
    </xf>
    <xf numFmtId="0" fontId="3" fillId="0" borderId="0" xfId="0" applyFont="1" applyAlignment="1" applyProtection="1">
      <alignment vertical="top"/>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4" fillId="0" borderId="8" xfId="0" applyFont="1" applyBorder="1" applyAlignment="1">
      <alignment horizontal="left" vertical="center" wrapText="1"/>
    </xf>
    <xf numFmtId="0" fontId="0" fillId="0" borderId="6" xfId="0" applyBorder="1" applyAlignment="1">
      <alignment vertical="top" wrapText="1"/>
    </xf>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4" fillId="0" borderId="7" xfId="0" applyFont="1" applyBorder="1" applyAlignment="1" applyProtection="1">
      <alignment horizontal="center" vertical="top" wrapText="1"/>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9" fillId="0" borderId="6" xfId="0" applyFont="1" applyBorder="1" applyAlignment="1">
      <alignment vertical="top" wrapText="1"/>
    </xf>
    <xf numFmtId="0" fontId="14" fillId="0" borderId="8" xfId="0" applyFont="1" applyBorder="1" applyAlignment="1">
      <alignment vertical="top"/>
    </xf>
    <xf numFmtId="0" fontId="5" fillId="0" borderId="0" xfId="0" applyFont="1" applyAlignment="1">
      <alignment vertical="top"/>
    </xf>
    <xf numFmtId="0" fontId="7" fillId="0" borderId="0" xfId="0" applyFont="1" applyAlignment="1" applyProtection="1">
      <alignment vertical="top"/>
      <protection locked="0"/>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9" fontId="4" fillId="0" borderId="8" xfId="0" applyNumberFormat="1" applyFont="1" applyBorder="1" applyAlignment="1" applyProtection="1">
      <alignment vertical="top"/>
      <protection locked="0"/>
    </xf>
    <xf numFmtId="0" fontId="5" fillId="0" borderId="8" xfId="0" applyFont="1" applyBorder="1" applyAlignment="1" applyProtection="1">
      <alignment vertical="top" wrapText="1"/>
      <protection locked="0"/>
    </xf>
    <xf numFmtId="0" fontId="4" fillId="0" borderId="8" xfId="0" applyFont="1" applyBorder="1" applyAlignment="1" applyProtection="1">
      <alignment vertical="top"/>
      <protection locked="0"/>
    </xf>
    <xf numFmtId="17" fontId="4" fillId="0" borderId="13" xfId="0" applyNumberFormat="1" applyFont="1" applyBorder="1" applyAlignment="1" applyProtection="1">
      <alignment vertical="top" wrapText="1"/>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4" fillId="4" borderId="8" xfId="0" applyFont="1" applyFill="1" applyBorder="1" applyAlignment="1">
      <alignment vertical="top"/>
    </xf>
    <xf numFmtId="0" fontId="4" fillId="0" borderId="7" xfId="0" applyFont="1" applyBorder="1" applyAlignment="1">
      <alignment vertical="top" wrapText="1"/>
    </xf>
    <xf numFmtId="0" fontId="4" fillId="3" borderId="8" xfId="0" applyFont="1" applyFill="1" applyBorder="1" applyAlignment="1">
      <alignment vertical="top" wrapText="1"/>
    </xf>
    <xf numFmtId="0" fontId="4" fillId="0" borderId="13" xfId="0" applyFont="1" applyBorder="1" applyAlignment="1">
      <alignment vertical="top"/>
    </xf>
    <xf numFmtId="0" fontId="4" fillId="0" borderId="6" xfId="0" applyFont="1" applyBorder="1" applyAlignment="1">
      <alignment vertical="top" wrapText="1"/>
    </xf>
    <xf numFmtId="0" fontId="4" fillId="0" borderId="13" xfId="0" applyFont="1" applyBorder="1" applyAlignment="1">
      <alignment vertical="top" wrapText="1"/>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6" fillId="0" borderId="8" xfId="0"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3" fillId="0" borderId="6"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12" fillId="0" borderId="6" xfId="0" applyFont="1"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wrapText="1"/>
    </xf>
    <xf numFmtId="0" fontId="8" fillId="0" borderId="8"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3" fillId="0" borderId="8" xfId="0" applyFont="1" applyBorder="1" applyAlignment="1">
      <alignment vertical="top" wrapText="1"/>
    </xf>
    <xf numFmtId="0" fontId="8" fillId="0" borderId="6" xfId="0" applyFont="1" applyBorder="1" applyAlignment="1">
      <alignment vertical="top" wrapText="1"/>
    </xf>
    <xf numFmtId="0" fontId="3" fillId="0" borderId="7" xfId="0" applyFont="1" applyBorder="1" applyAlignment="1">
      <alignment vertical="top" wrapText="1"/>
    </xf>
    <xf numFmtId="0" fontId="15" fillId="0" borderId="8" xfId="0" applyFont="1" applyBorder="1" applyAlignment="1">
      <alignment vertical="top" wrapText="1"/>
    </xf>
    <xf numFmtId="0" fontId="8" fillId="0" borderId="13" xfId="0" applyFont="1" applyBorder="1" applyAlignment="1">
      <alignment vertical="top" wrapText="1"/>
    </xf>
    <xf numFmtId="0" fontId="0" fillId="3" borderId="16" xfId="0" applyFill="1" applyBorder="1" applyAlignment="1">
      <alignment vertical="top"/>
    </xf>
    <xf numFmtId="0" fontId="20" fillId="0" borderId="0" xfId="0" applyFont="1" applyAlignment="1">
      <alignment vertical="top"/>
    </xf>
    <xf numFmtId="0" fontId="4" fillId="0" borderId="0" xfId="0" applyFont="1" applyAlignment="1">
      <alignment horizontal="center" vertical="top"/>
    </xf>
    <xf numFmtId="0" fontId="6" fillId="0" borderId="0" xfId="0" applyFont="1" applyAlignment="1">
      <alignment horizontal="center" vertical="top" wrapText="1"/>
    </xf>
    <xf numFmtId="0" fontId="7" fillId="0" borderId="0" xfId="0" applyFont="1" applyAlignment="1" applyProtection="1">
      <alignment horizontal="center" vertical="top"/>
      <protection locked="0"/>
    </xf>
    <xf numFmtId="0" fontId="4" fillId="0" borderId="13" xfId="0" applyFont="1" applyBorder="1" applyAlignment="1" applyProtection="1">
      <alignment horizontal="center" vertical="top" wrapText="1"/>
      <protection locked="0"/>
    </xf>
    <xf numFmtId="0" fontId="0" fillId="0" borderId="0" xfId="0" applyAlignment="1" applyProtection="1">
      <alignment horizontal="center" vertical="top"/>
      <protection locked="0"/>
    </xf>
    <xf numFmtId="0" fontId="4" fillId="0" borderId="0" xfId="0" applyFont="1" applyAlignment="1" applyProtection="1">
      <alignment horizontal="center" vertical="top"/>
      <protection locked="0"/>
    </xf>
    <xf numFmtId="0" fontId="4" fillId="0" borderId="6" xfId="0" applyFont="1" applyBorder="1" applyAlignment="1" applyProtection="1">
      <alignment horizontal="center" vertical="top" wrapText="1"/>
      <protection locked="0"/>
    </xf>
    <xf numFmtId="0" fontId="3" fillId="0" borderId="0" xfId="0" applyFont="1" applyAlignment="1" applyProtection="1">
      <alignment horizontal="center" vertical="top"/>
      <protection locked="0"/>
    </xf>
    <xf numFmtId="0" fontId="3" fillId="0" borderId="0" xfId="0" applyFont="1" applyAlignment="1" applyProtection="1">
      <alignment horizontal="center" vertical="top" wrapText="1"/>
      <protection locked="0"/>
    </xf>
    <xf numFmtId="0" fontId="12" fillId="0" borderId="0" xfId="0" applyFont="1" applyAlignment="1" applyProtection="1">
      <alignment horizontal="center" vertical="top" wrapText="1"/>
      <protection locked="0"/>
    </xf>
    <xf numFmtId="0" fontId="4" fillId="0" borderId="10" xfId="0" applyFont="1" applyBorder="1" applyAlignment="1" applyProtection="1">
      <alignment horizontal="center" vertical="top" wrapText="1"/>
      <protection locked="0"/>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3" fillId="0" borderId="0" xfId="0" applyFont="1" applyAlignment="1">
      <alignment horizontal="center" vertical="top"/>
    </xf>
    <xf numFmtId="0" fontId="3" fillId="0" borderId="0" xfId="0" applyFont="1" applyAlignment="1">
      <alignment horizontal="center" vertical="top" wrapText="1"/>
    </xf>
    <xf numFmtId="0" fontId="12" fillId="0" borderId="0" xfId="0" applyFont="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4" fillId="0" borderId="4" xfId="0" applyFont="1" applyBorder="1" applyAlignment="1">
      <alignment horizontal="center" vertical="top" wrapText="1"/>
    </xf>
    <xf numFmtId="0" fontId="3" fillId="0" borderId="8" xfId="0" applyFont="1" applyBorder="1" applyAlignment="1">
      <alignment horizontal="center" vertical="top" wrapText="1"/>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8" fillId="0" borderId="8" xfId="0" applyFont="1" applyBorder="1" applyAlignment="1">
      <alignment horizontal="center" vertical="top" wrapText="1"/>
    </xf>
    <xf numFmtId="0" fontId="14" fillId="0" borderId="8" xfId="0" applyFont="1" applyBorder="1" applyAlignment="1">
      <alignment horizontal="center" vertical="top"/>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1"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4" fillId="3" borderId="8" xfId="0" applyFont="1" applyFill="1" applyBorder="1" applyAlignment="1">
      <alignment horizontal="center" vertical="top"/>
    </xf>
    <xf numFmtId="0" fontId="3" fillId="0" borderId="1" xfId="0" applyFont="1" applyBorder="1" applyAlignment="1">
      <alignment vertical="top" wrapText="1"/>
    </xf>
    <xf numFmtId="0" fontId="4" fillId="0" borderId="0" xfId="0" applyFont="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3" fontId="4" fillId="4" borderId="8" xfId="0" applyNumberFormat="1" applyFont="1" applyFill="1" applyBorder="1" applyAlignment="1">
      <alignment vertical="top" wrapText="1"/>
    </xf>
    <xf numFmtId="9" fontId="4" fillId="4" borderId="12" xfId="3" applyFont="1" applyFill="1" applyBorder="1" applyAlignment="1">
      <alignment vertical="top" wrapText="1"/>
    </xf>
    <xf numFmtId="9" fontId="4" fillId="4" borderId="8" xfId="3" applyFont="1" applyFill="1" applyBorder="1" applyAlignment="1">
      <alignment vertical="top"/>
    </xf>
    <xf numFmtId="9" fontId="4" fillId="4" borderId="8" xfId="0" applyNumberFormat="1" applyFont="1" applyFill="1" applyBorder="1" applyAlignment="1">
      <alignment vertical="top"/>
    </xf>
    <xf numFmtId="9" fontId="4" fillId="4" borderId="8" xfId="3" applyFont="1" applyFill="1" applyBorder="1" applyAlignment="1">
      <alignment vertical="top" wrapText="1"/>
    </xf>
    <xf numFmtId="0" fontId="4" fillId="4" borderId="8" xfId="0" applyFont="1" applyFill="1" applyBorder="1" applyAlignment="1">
      <alignment horizontal="center" vertical="top"/>
    </xf>
    <xf numFmtId="165" fontId="4" fillId="4" borderId="8" xfId="0" applyNumberFormat="1" applyFont="1" applyFill="1" applyBorder="1" applyAlignment="1">
      <alignment horizontal="center"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6" borderId="8" xfId="3"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0" borderId="14" xfId="0" applyFont="1" applyBorder="1" applyAlignment="1">
      <alignment horizontal="lef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22" fillId="0" borderId="0" xfId="0" applyFont="1"/>
    <xf numFmtId="0" fontId="6" fillId="0" borderId="8"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3" fontId="4" fillId="4" borderId="8" xfId="0" applyNumberFormat="1" applyFont="1" applyFill="1" applyBorder="1" applyAlignment="1" applyProtection="1">
      <alignment vertical="top"/>
      <protection locked="0"/>
    </xf>
    <xf numFmtId="3" fontId="4" fillId="4" borderId="13" xfId="0" applyNumberFormat="1" applyFont="1" applyFill="1" applyBorder="1" applyAlignment="1" applyProtection="1">
      <alignment vertical="top"/>
      <protection locked="0"/>
    </xf>
    <xf numFmtId="0" fontId="0" fillId="0" borderId="8" xfId="0" applyBorder="1" applyAlignment="1" applyProtection="1">
      <alignment vertical="top"/>
      <protection locked="0"/>
    </xf>
    <xf numFmtId="0" fontId="12" fillId="0" borderId="12" xfId="0" applyFont="1" applyBorder="1" applyAlignment="1" applyProtection="1">
      <alignment vertical="top" wrapText="1"/>
      <protection locked="0"/>
    </xf>
    <xf numFmtId="0" fontId="4" fillId="0" borderId="1" xfId="0" applyFont="1" applyBorder="1" applyAlignment="1" applyProtection="1">
      <alignment horizontal="center" vertical="top" wrapText="1"/>
      <protection locked="0"/>
    </xf>
    <xf numFmtId="0" fontId="15" fillId="0" borderId="6" xfId="0" applyFont="1" applyBorder="1" applyAlignment="1" applyProtection="1">
      <alignment vertical="top" wrapText="1"/>
      <protection locked="0"/>
    </xf>
    <xf numFmtId="9" fontId="25" fillId="6" borderId="8" xfId="0" applyNumberFormat="1" applyFont="1" applyFill="1" applyBorder="1" applyAlignment="1">
      <alignment horizontal="center" vertical="top"/>
    </xf>
    <xf numFmtId="9" fontId="4" fillId="4" borderId="14" xfId="0" applyNumberFormat="1" applyFont="1" applyFill="1" applyBorder="1" applyAlignment="1">
      <alignment horizontal="right" vertical="top"/>
    </xf>
    <xf numFmtId="9" fontId="26" fillId="4" borderId="8" xfId="0" applyNumberFormat="1" applyFont="1" applyFill="1" applyBorder="1" applyAlignment="1">
      <alignment vertical="top"/>
    </xf>
    <xf numFmtId="0" fontId="14" fillId="0" borderId="16" xfId="0" applyFont="1" applyBorder="1"/>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9" fontId="8" fillId="4" borderId="14" xfId="0" applyNumberFormat="1" applyFont="1" applyFill="1" applyBorder="1" applyAlignment="1">
      <alignment horizontal="distributed"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166" fontId="4" fillId="4" borderId="12" xfId="4" applyNumberFormat="1" applyFont="1" applyFill="1" applyBorder="1" applyAlignment="1">
      <alignment horizontal="center" vertical="top" wrapText="1"/>
    </xf>
    <xf numFmtId="9" fontId="25" fillId="6" borderId="8" xfId="3" applyFont="1" applyFill="1" applyBorder="1" applyAlignment="1">
      <alignment horizontal="center" vertical="top" wrapText="1"/>
    </xf>
    <xf numFmtId="0" fontId="0" fillId="3" borderId="30" xfId="0" applyFill="1" applyBorder="1" applyAlignment="1">
      <alignment vertical="top"/>
    </xf>
    <xf numFmtId="0" fontId="23" fillId="6" borderId="18" xfId="0" applyFont="1"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7" fillId="3" borderId="16" xfId="0" applyNumberFormat="1" applyFont="1" applyFill="1" applyBorder="1" applyAlignment="1">
      <alignment horizontal="right" vertical="top"/>
    </xf>
    <xf numFmtId="9" fontId="0" fillId="0" borderId="0" xfId="3" applyFont="1"/>
    <xf numFmtId="9" fontId="0" fillId="6" borderId="12" xfId="0" applyNumberFormat="1" applyFill="1" applyBorder="1" applyAlignment="1">
      <alignment horizontal="center" vertical="top"/>
    </xf>
    <xf numFmtId="0" fontId="4" fillId="0" borderId="5" xfId="0" applyFont="1" applyBorder="1" applyAlignment="1" applyProtection="1">
      <alignment vertical="top" wrapText="1"/>
      <protection locked="0"/>
    </xf>
    <xf numFmtId="0" fontId="4" fillId="0" borderId="5" xfId="0" applyFont="1" applyBorder="1" applyAlignment="1">
      <alignment vertical="top" wrapText="1"/>
    </xf>
    <xf numFmtId="0" fontId="4" fillId="0" borderId="14" xfId="0" applyFont="1" applyBorder="1" applyAlignment="1" applyProtection="1">
      <alignment vertical="top"/>
      <protection locked="0"/>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0" fillId="7" borderId="20" xfId="0" applyFill="1" applyBorder="1" applyAlignment="1">
      <alignment vertical="top"/>
    </xf>
    <xf numFmtId="9" fontId="4" fillId="3" borderId="8" xfId="0" applyNumberFormat="1" applyFont="1" applyFill="1" applyBorder="1" applyAlignment="1" applyProtection="1">
      <alignment horizontal="center" vertical="top" wrapText="1"/>
      <protection locked="0"/>
    </xf>
    <xf numFmtId="0" fontId="4" fillId="6" borderId="8" xfId="0" applyFont="1" applyFill="1" applyBorder="1" applyAlignment="1" applyProtection="1">
      <alignment horizontal="left" vertical="top"/>
      <protection locked="0"/>
    </xf>
    <xf numFmtId="0" fontId="2" fillId="0" borderId="0" xfId="0" applyFont="1" applyAlignment="1">
      <alignment vertical="top"/>
    </xf>
    <xf numFmtId="0" fontId="2" fillId="0" borderId="0" xfId="0" applyFont="1" applyAlignment="1">
      <alignment horizontal="center" vertical="top"/>
    </xf>
    <xf numFmtId="0" fontId="23" fillId="6" borderId="18" xfId="1" applyFont="1" applyFill="1" applyBorder="1" applyAlignment="1" applyProtection="1">
      <alignment vertical="top"/>
    </xf>
    <xf numFmtId="0" fontId="1" fillId="6" borderId="20" xfId="1" applyFill="1" applyBorder="1" applyAlignment="1" applyProtection="1">
      <alignment vertical="top"/>
    </xf>
    <xf numFmtId="9" fontId="7" fillId="6" borderId="12" xfId="0" applyNumberFormat="1" applyFont="1" applyFill="1" applyBorder="1" applyAlignment="1">
      <alignment horizontal="center" vertical="top"/>
    </xf>
    <xf numFmtId="0" fontId="4" fillId="0" borderId="2" xfId="0" applyFont="1" applyBorder="1" applyAlignment="1">
      <alignment vertical="top" wrapText="1"/>
    </xf>
    <xf numFmtId="0" fontId="4" fillId="0" borderId="3" xfId="0" applyFont="1" applyBorder="1" applyAlignment="1">
      <alignment vertical="top" wrapText="1"/>
    </xf>
    <xf numFmtId="0" fontId="4" fillId="3" borderId="8" xfId="0" applyFont="1" applyFill="1" applyBorder="1" applyAlignment="1">
      <alignment vertical="top"/>
    </xf>
    <xf numFmtId="0" fontId="4" fillId="0" borderId="14" xfId="0" applyFont="1" applyBorder="1" applyAlignment="1">
      <alignment horizontal="center" vertical="top" wrapText="1"/>
    </xf>
    <xf numFmtId="0" fontId="4" fillId="0" borderId="9" xfId="0" applyFont="1" applyBorder="1" applyAlignment="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9" fontId="4" fillId="9" borderId="12" xfId="3" applyFont="1" applyFill="1" applyBorder="1" applyAlignment="1" applyProtection="1">
      <alignment horizontal="center" vertical="top"/>
    </xf>
    <xf numFmtId="0" fontId="12" fillId="0" borderId="14" xfId="0" applyFont="1" applyBorder="1" applyAlignment="1">
      <alignment horizontal="center" vertical="top"/>
    </xf>
    <xf numFmtId="0" fontId="4" fillId="5" borderId="8" xfId="0" applyFont="1" applyFill="1" applyBorder="1" applyAlignment="1" applyProtection="1">
      <alignment vertical="top"/>
      <protection locked="0"/>
    </xf>
    <xf numFmtId="0" fontId="0" fillId="0" borderId="7" xfId="0" applyBorder="1" applyAlignment="1">
      <alignment vertical="top"/>
    </xf>
    <xf numFmtId="0" fontId="5" fillId="0" borderId="14" xfId="0" applyFont="1" applyBorder="1" applyAlignment="1">
      <alignment vertical="top" wrapText="1"/>
    </xf>
    <xf numFmtId="0" fontId="0" fillId="0" borderId="4" xfId="0" applyBorder="1" applyAlignment="1">
      <alignment vertical="top"/>
    </xf>
    <xf numFmtId="0" fontId="4" fillId="0" borderId="14" xfId="0" applyFont="1" applyBorder="1" applyAlignment="1">
      <alignment vertical="top" wrapText="1"/>
    </xf>
    <xf numFmtId="0" fontId="7" fillId="0" borderId="11" xfId="0" applyFont="1" applyBorder="1" applyAlignment="1">
      <alignment vertical="top" wrapText="1"/>
    </xf>
    <xf numFmtId="0" fontId="5" fillId="0" borderId="14" xfId="0" applyFont="1" applyBorder="1" applyAlignment="1">
      <alignment vertical="top"/>
    </xf>
    <xf numFmtId="0" fontId="4" fillId="0" borderId="10" xfId="0" applyFont="1" applyBorder="1" applyAlignment="1">
      <alignment vertical="top" wrapText="1"/>
    </xf>
    <xf numFmtId="0" fontId="4" fillId="0" borderId="11" xfId="0" applyFont="1" applyBorder="1" applyAlignment="1">
      <alignment horizontal="center" vertical="top" wrapText="1"/>
    </xf>
    <xf numFmtId="0" fontId="4" fillId="0" borderId="15" xfId="0" applyFont="1" applyBorder="1" applyAlignment="1">
      <alignment vertical="top" wrapText="1"/>
    </xf>
    <xf numFmtId="0" fontId="14" fillId="0" borderId="0" xfId="0" applyFont="1" applyAlignment="1">
      <alignment vertical="top" wrapText="1"/>
    </xf>
    <xf numFmtId="0" fontId="14" fillId="0" borderId="0" xfId="0" applyFont="1" applyAlignment="1">
      <alignment horizontal="center" vertical="top" wrapText="1"/>
    </xf>
    <xf numFmtId="0" fontId="4" fillId="3" borderId="7" xfId="0" applyFont="1" applyFill="1" applyBorder="1" applyAlignment="1" applyProtection="1">
      <alignment vertical="top"/>
      <protection locked="0"/>
    </xf>
    <xf numFmtId="0" fontId="4" fillId="0" borderId="5" xfId="0" applyFont="1" applyBorder="1" applyAlignment="1">
      <alignment horizontal="lef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9" borderId="7" xfId="0" applyFont="1" applyFill="1" applyBorder="1" applyAlignment="1">
      <alignment vertical="top"/>
    </xf>
    <xf numFmtId="0" fontId="4" fillId="0" borderId="8" xfId="0" applyFont="1" applyBorder="1" applyAlignment="1">
      <alignment horizontal="left" vertical="top" wrapText="1"/>
    </xf>
    <xf numFmtId="0" fontId="17" fillId="0" borderId="8" xfId="2" applyBorder="1" applyAlignment="1" applyProtection="1">
      <alignment vertical="top" wrapText="1"/>
    </xf>
    <xf numFmtId="0" fontId="0" fillId="0" borderId="9" xfId="0" applyBorder="1" applyProtection="1">
      <protection locked="0"/>
    </xf>
    <xf numFmtId="0" fontId="14" fillId="0" borderId="16" xfId="0" applyFont="1" applyBorder="1" applyAlignment="1">
      <alignment horizontal="left" vertical="top"/>
    </xf>
    <xf numFmtId="0" fontId="24" fillId="0" borderId="16" xfId="2" applyFont="1" applyBorder="1" applyAlignment="1" applyProtection="1">
      <alignment horizontal="left" vertical="top" wrapText="1"/>
    </xf>
    <xf numFmtId="0" fontId="8" fillId="0" borderId="7" xfId="0" applyFont="1" applyBorder="1" applyAlignment="1">
      <alignment horizontal="center" vertical="top" wrapText="1"/>
    </xf>
    <xf numFmtId="0" fontId="3" fillId="0" borderId="7" xfId="0" applyFont="1" applyBorder="1" applyAlignment="1">
      <alignment horizontal="center" vertical="top" wrapText="1"/>
    </xf>
    <xf numFmtId="0" fontId="4" fillId="6" borderId="8" xfId="0" applyFont="1" applyFill="1" applyBorder="1" applyAlignment="1">
      <alignment vertical="top"/>
    </xf>
    <xf numFmtId="9" fontId="4" fillId="6" borderId="8" xfId="0" applyNumberFormat="1" applyFont="1" applyFill="1" applyBorder="1" applyAlignment="1">
      <alignment horizontal="center" vertical="top"/>
    </xf>
    <xf numFmtId="0" fontId="3" fillId="0" borderId="12" xfId="0" applyFont="1" applyBorder="1" applyAlignment="1">
      <alignment horizontal="center" vertical="top" wrapText="1"/>
    </xf>
    <xf numFmtId="0" fontId="12" fillId="0" borderId="4" xfId="0" applyFont="1" applyBorder="1" applyAlignment="1">
      <alignment vertical="top"/>
    </xf>
    <xf numFmtId="0" fontId="12" fillId="0" borderId="12" xfId="0" applyFont="1" applyBorder="1" applyAlignment="1">
      <alignment vertical="top"/>
    </xf>
    <xf numFmtId="9" fontId="4" fillId="5" borderId="8" xfId="0" applyNumberFormat="1" applyFont="1" applyFill="1" applyBorder="1" applyAlignment="1">
      <alignment vertical="top" wrapText="1"/>
    </xf>
    <xf numFmtId="9" fontId="0" fillId="0" borderId="0" xfId="0" applyNumberFormat="1" applyAlignment="1">
      <alignment vertical="top"/>
    </xf>
    <xf numFmtId="0" fontId="8" fillId="0" borderId="5" xfId="0" applyFont="1" applyBorder="1" applyAlignment="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3" fontId="4" fillId="4" borderId="8" xfId="0" applyNumberFormat="1" applyFont="1" applyFill="1" applyBorder="1" applyAlignment="1">
      <alignment horizontal="center" vertical="top"/>
    </xf>
    <xf numFmtId="0" fontId="3" fillId="0" borderId="9" xfId="0" applyFont="1" applyBorder="1" applyAlignment="1">
      <alignment vertical="top"/>
    </xf>
    <xf numFmtId="3" fontId="4" fillId="9" borderId="13" xfId="0" applyNumberFormat="1" applyFont="1" applyFill="1" applyBorder="1" applyAlignment="1">
      <alignment horizontal="right" vertical="top"/>
    </xf>
    <xf numFmtId="3" fontId="4" fillId="9" borderId="13" xfId="0" applyNumberFormat="1" applyFont="1" applyFill="1" applyBorder="1" applyAlignment="1">
      <alignment horizontal="center" vertical="top"/>
    </xf>
    <xf numFmtId="0" fontId="4" fillId="9" borderId="8" xfId="0" applyFont="1" applyFill="1" applyBorder="1" applyAlignment="1">
      <alignment vertical="top"/>
    </xf>
    <xf numFmtId="0" fontId="4" fillId="0" borderId="31" xfId="0" applyFont="1" applyBorder="1" applyAlignment="1">
      <alignment vertical="top"/>
    </xf>
    <xf numFmtId="0" fontId="4" fillId="0" borderId="32" xfId="0" applyFont="1" applyBorder="1" applyAlignment="1">
      <alignment vertical="top"/>
    </xf>
    <xf numFmtId="0" fontId="4" fillId="0" borderId="33" xfId="0" applyFont="1" applyBorder="1" applyAlignment="1">
      <alignment vertical="top"/>
    </xf>
    <xf numFmtId="0" fontId="4" fillId="0" borderId="34" xfId="0" applyFont="1" applyBorder="1" applyAlignment="1">
      <alignment vertical="top"/>
    </xf>
    <xf numFmtId="3" fontId="4" fillId="6" borderId="16" xfId="0" applyNumberFormat="1" applyFont="1" applyFill="1" applyBorder="1" applyAlignment="1">
      <alignment horizontal="center" vertical="top"/>
    </xf>
    <xf numFmtId="3" fontId="4" fillId="6" borderId="35" xfId="0" applyNumberFormat="1" applyFont="1" applyFill="1" applyBorder="1" applyAlignment="1">
      <alignment horizontal="center" vertical="top"/>
    </xf>
    <xf numFmtId="0" fontId="4" fillId="0" borderId="34" xfId="0" applyFont="1" applyBorder="1" applyAlignment="1">
      <alignment vertical="top" wrapText="1"/>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lignment vertical="top"/>
    </xf>
    <xf numFmtId="0" fontId="0" fillId="0" borderId="3" xfId="0" applyBorder="1"/>
    <xf numFmtId="0" fontId="0" fillId="0" borderId="4" xfId="0" applyBorder="1"/>
    <xf numFmtId="3" fontId="4" fillId="0" borderId="8" xfId="0" applyNumberFormat="1" applyFont="1" applyBorder="1" applyAlignment="1">
      <alignment vertical="top"/>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8" fillId="0" borderId="16" xfId="0" applyFont="1" applyBorder="1" applyAlignment="1">
      <alignment vertical="top"/>
    </xf>
    <xf numFmtId="9" fontId="4" fillId="0" borderId="16" xfId="0" applyNumberFormat="1" applyFont="1" applyBorder="1" applyAlignment="1" applyProtection="1">
      <alignment horizontal="center" vertical="top"/>
      <protection locked="0"/>
    </xf>
    <xf numFmtId="9" fontId="4" fillId="3" borderId="20" xfId="0" applyNumberFormat="1" applyFont="1" applyFill="1" applyBorder="1" applyAlignment="1" applyProtection="1">
      <alignment horizontal="right" vertical="top"/>
      <protection locked="0"/>
    </xf>
    <xf numFmtId="1" fontId="4" fillId="4" borderId="12" xfId="3" applyNumberFormat="1" applyFont="1" applyFill="1" applyBorder="1" applyAlignment="1">
      <alignment horizontal="center" vertical="top"/>
    </xf>
    <xf numFmtId="0" fontId="8" fillId="0" borderId="0" xfId="0" applyFont="1" applyAlignment="1">
      <alignment vertical="top" wrapText="1"/>
    </xf>
    <xf numFmtId="0" fontId="8" fillId="0" borderId="12" xfId="0" applyFont="1" applyBorder="1" applyAlignment="1">
      <alignment vertical="top" wrapText="1"/>
    </xf>
    <xf numFmtId="9" fontId="0" fillId="6" borderId="12" xfId="3" applyFont="1" applyFill="1" applyBorder="1" applyAlignment="1">
      <alignment horizontal="center" vertical="top"/>
    </xf>
    <xf numFmtId="0" fontId="3" fillId="0" borderId="3" xfId="0" applyFont="1" applyBorder="1" applyAlignment="1">
      <alignment vertical="top" wrapText="1"/>
    </xf>
    <xf numFmtId="0" fontId="28" fillId="0" borderId="16" xfId="0" applyFont="1" applyBorder="1" applyAlignment="1">
      <alignment vertical="top" wrapText="1"/>
    </xf>
    <xf numFmtId="9" fontId="4" fillId="3" borderId="12" xfId="0" applyNumberFormat="1" applyFont="1" applyFill="1" applyBorder="1" applyAlignment="1" applyProtection="1">
      <alignment vertical="top"/>
      <protection locked="0"/>
    </xf>
    <xf numFmtId="9" fontId="4" fillId="4" borderId="12" xfId="0" applyNumberFormat="1" applyFont="1" applyFill="1" applyBorder="1" applyAlignment="1">
      <alignment horizontal="right" vertical="top"/>
    </xf>
    <xf numFmtId="0" fontId="0" fillId="0" borderId="6" xfId="0" applyBorder="1" applyAlignment="1">
      <alignment horizontal="center" vertical="top"/>
    </xf>
    <xf numFmtId="3" fontId="4" fillId="4" borderId="8" xfId="0" applyNumberFormat="1" applyFont="1" applyFill="1" applyBorder="1" applyAlignment="1">
      <alignment horizontal="right" vertical="top"/>
    </xf>
    <xf numFmtId="3" fontId="4" fillId="4" borderId="8" xfId="0" applyNumberFormat="1" applyFont="1" applyFill="1" applyBorder="1" applyAlignment="1">
      <alignment horizontal="right" vertical="top" wrapText="1"/>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4" xfId="0" applyFont="1" applyBorder="1" applyAlignment="1" applyProtection="1">
      <alignment horizontal="left" vertical="top"/>
      <protection locked="0"/>
    </xf>
    <xf numFmtId="9" fontId="4" fillId="4" borderId="8" xfId="3" applyFont="1" applyFill="1" applyBorder="1" applyAlignment="1" applyProtection="1">
      <alignment horizontal="right" vertical="top"/>
    </xf>
    <xf numFmtId="0" fontId="4" fillId="0" borderId="12" xfId="0" applyFont="1" applyBorder="1" applyAlignment="1">
      <alignment horizontal="center" vertical="center" wrapText="1"/>
    </xf>
    <xf numFmtId="0" fontId="3" fillId="3" borderId="8" xfId="0" applyFont="1" applyFill="1" applyBorder="1" applyAlignment="1" applyProtection="1">
      <alignment horizontal="center" vertical="top" wrapText="1"/>
      <protection locked="0"/>
    </xf>
    <xf numFmtId="9" fontId="25" fillId="6" borderId="16" xfId="0" applyNumberFormat="1" applyFont="1" applyFill="1" applyBorder="1" applyAlignment="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0" fontId="0" fillId="3" borderId="16" xfId="0" applyFill="1" applyBorder="1" applyAlignment="1" applyProtection="1">
      <alignment horizontal="center"/>
      <protection locked="0"/>
    </xf>
    <xf numFmtId="0" fontId="4" fillId="3" borderId="7"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0" fontId="4" fillId="3" borderId="15" xfId="0" applyFont="1" applyFill="1" applyBorder="1" applyAlignment="1" applyProtection="1">
      <alignment horizontal="center" vertical="top" wrapText="1"/>
      <protection locked="0"/>
    </xf>
    <xf numFmtId="9" fontId="4" fillId="4" borderId="14" xfId="3" applyFont="1" applyFill="1" applyBorder="1" applyAlignment="1">
      <alignment horizontal="center" vertical="center"/>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0" fontId="4" fillId="10" borderId="8" xfId="0" applyFont="1" applyFill="1" applyBorder="1" applyAlignment="1">
      <alignment vertical="top" wrapText="1"/>
    </xf>
    <xf numFmtId="3" fontId="4" fillId="3" borderId="13" xfId="0" applyNumberFormat="1" applyFont="1" applyFill="1" applyBorder="1" applyAlignment="1" applyProtection="1">
      <alignment vertical="top" wrapText="1"/>
      <protection locked="0"/>
    </xf>
    <xf numFmtId="0" fontId="4" fillId="3" borderId="8" xfId="0" applyFont="1" applyFill="1" applyBorder="1" applyAlignment="1" applyProtection="1">
      <alignment horizontal="left" vertical="top" wrapText="1"/>
      <protection locked="0"/>
    </xf>
    <xf numFmtId="0" fontId="4" fillId="3" borderId="12" xfId="0" applyFont="1" applyFill="1" applyBorder="1" applyAlignment="1" applyProtection="1">
      <alignment vertical="top" wrapText="1"/>
      <protection locked="0"/>
    </xf>
    <xf numFmtId="0" fontId="3" fillId="3" borderId="8" xfId="0" applyFont="1" applyFill="1" applyBorder="1" applyAlignment="1" applyProtection="1">
      <alignment vertical="top" wrapText="1"/>
      <protection locked="0"/>
    </xf>
    <xf numFmtId="0" fontId="14" fillId="3" borderId="8" xfId="0" applyFont="1" applyFill="1" applyBorder="1" applyAlignment="1" applyProtection="1">
      <alignment horizontal="center" vertical="top"/>
      <protection locked="0"/>
    </xf>
    <xf numFmtId="3" fontId="7" fillId="3" borderId="16" xfId="0" applyNumberFormat="1" applyFont="1" applyFill="1" applyBorder="1" applyAlignment="1" applyProtection="1">
      <alignment horizontal="right" vertical="top"/>
      <protection locked="0"/>
    </xf>
    <xf numFmtId="166" fontId="7" fillId="3" borderId="16" xfId="0" applyNumberFormat="1" applyFont="1" applyFill="1" applyBorder="1" applyAlignment="1" applyProtection="1">
      <alignment horizontal="right" vertical="top"/>
      <protection locked="0"/>
    </xf>
    <xf numFmtId="166" fontId="7" fillId="3" borderId="16" xfId="4" applyNumberFormat="1" applyFont="1" applyFill="1" applyBorder="1" applyAlignment="1" applyProtection="1">
      <alignment horizontal="right" vertical="top"/>
      <protection locked="0"/>
    </xf>
    <xf numFmtId="9" fontId="3" fillId="3" borderId="8" xfId="0" applyNumberFormat="1" applyFont="1" applyFill="1" applyBorder="1" applyAlignment="1" applyProtection="1">
      <alignment horizontal="center" vertical="top"/>
      <protection locked="0"/>
    </xf>
    <xf numFmtId="0" fontId="29" fillId="0" borderId="1" xfId="0" applyFont="1" applyBorder="1" applyAlignment="1">
      <alignment vertical="top" wrapText="1"/>
    </xf>
    <xf numFmtId="165" fontId="4" fillId="3" borderId="8" xfId="0" applyNumberFormat="1" applyFont="1" applyFill="1" applyBorder="1" applyAlignment="1" applyProtection="1">
      <alignment horizontal="center" vertical="top"/>
      <protection locked="0"/>
    </xf>
    <xf numFmtId="166" fontId="4" fillId="8" borderId="15" xfId="0" applyNumberFormat="1" applyFont="1" applyFill="1" applyBorder="1" applyAlignment="1" applyProtection="1">
      <alignment horizontal="center" wrapText="1"/>
      <protection locked="0"/>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0" fontId="4" fillId="3" borderId="6" xfId="0" applyFont="1" applyFill="1" applyBorder="1" applyAlignment="1" applyProtection="1">
      <alignment vertical="top"/>
      <protection locked="0"/>
    </xf>
    <xf numFmtId="0" fontId="4" fillId="3" borderId="6" xfId="0" applyFont="1" applyFill="1" applyBorder="1" applyAlignment="1" applyProtection="1">
      <alignment horizontal="left" vertical="center"/>
      <protection locked="0"/>
    </xf>
    <xf numFmtId="9" fontId="4" fillId="4" borderId="13" xfId="3" applyFont="1" applyFill="1" applyBorder="1" applyAlignment="1">
      <alignment horizontal="center" vertical="top" wrapText="1"/>
    </xf>
    <xf numFmtId="0" fontId="0" fillId="3" borderId="34"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0" fontId="3" fillId="0" borderId="1" xfId="0" applyFont="1" applyBorder="1" applyAlignment="1" applyProtection="1">
      <alignment vertical="top" wrapText="1"/>
      <protection locked="0"/>
    </xf>
    <xf numFmtId="9" fontId="4" fillId="3" borderId="12" xfId="3" applyFont="1" applyFill="1" applyBorder="1" applyAlignment="1" applyProtection="1">
      <alignment horizontal="center" vertical="top"/>
      <protection locked="0"/>
    </xf>
    <xf numFmtId="0" fontId="17" fillId="0" borderId="0" xfId="2" applyFill="1"/>
    <xf numFmtId="0" fontId="0" fillId="0" borderId="16" xfId="0" applyBorder="1" applyAlignment="1">
      <alignment horizontal="center"/>
    </xf>
    <xf numFmtId="0" fontId="17" fillId="0" borderId="0" xfId="2" applyFill="1" applyBorder="1"/>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lignment horizontal="center" vertical="center"/>
    </xf>
    <xf numFmtId="0" fontId="7" fillId="0" borderId="16" xfId="0" applyFont="1" applyBorder="1" applyAlignment="1">
      <alignment horizontal="center" vertical="center" wrapText="1"/>
    </xf>
    <xf numFmtId="0" fontId="0" fillId="0" borderId="16" xfId="0" applyBorder="1" applyAlignment="1">
      <alignment vertical="center"/>
    </xf>
    <xf numFmtId="0" fontId="0" fillId="0" borderId="16" xfId="0" applyBorder="1" applyAlignment="1">
      <alignment horizontal="center" vertical="center"/>
    </xf>
    <xf numFmtId="0" fontId="0" fillId="6" borderId="16" xfId="3" applyNumberFormat="1" applyFont="1" applyFill="1" applyBorder="1" applyAlignment="1" applyProtection="1">
      <alignment horizontal="left" vertical="top"/>
    </xf>
    <xf numFmtId="0" fontId="0" fillId="0" borderId="16" xfId="0" applyBorder="1" applyAlignment="1" applyProtection="1">
      <alignment vertical="center"/>
      <protection locked="0"/>
    </xf>
    <xf numFmtId="9" fontId="0" fillId="0" borderId="16" xfId="0" applyNumberFormat="1" applyBorder="1" applyAlignment="1" applyProtection="1">
      <alignment horizontal="center" vertical="top"/>
      <protection locked="0"/>
    </xf>
    <xf numFmtId="0" fontId="0" fillId="0" borderId="16" xfId="0" applyBorder="1" applyAlignment="1" applyProtection="1">
      <alignment horizontal="center" vertical="top"/>
      <protection locked="0"/>
    </xf>
    <xf numFmtId="0" fontId="7" fillId="0" borderId="18" xfId="0" applyFont="1" applyBorder="1" applyAlignment="1">
      <alignment horizontal="center" vertical="center"/>
    </xf>
    <xf numFmtId="0" fontId="7" fillId="0" borderId="20" xfId="0" applyFont="1" applyBorder="1" applyAlignment="1" applyProtection="1">
      <alignment horizontal="center" vertical="center"/>
      <protection locked="0"/>
    </xf>
    <xf numFmtId="0" fontId="7" fillId="6" borderId="20" xfId="3" applyNumberFormat="1" applyFont="1" applyFill="1" applyBorder="1" applyAlignment="1" applyProtection="1">
      <alignment horizontal="left" vertical="top"/>
      <protection locked="0"/>
    </xf>
    <xf numFmtId="0" fontId="7" fillId="0" borderId="19" xfId="0" applyFont="1" applyBorder="1" applyAlignment="1">
      <alignment horizontal="center" vertical="center"/>
    </xf>
    <xf numFmtId="0" fontId="7" fillId="6" borderId="19" xfId="3" applyNumberFormat="1" applyFont="1" applyFill="1" applyBorder="1" applyAlignment="1" applyProtection="1">
      <alignment horizontal="left" vertical="top"/>
    </xf>
    <xf numFmtId="0" fontId="17" fillId="0" borderId="0" xfId="2" applyFill="1" applyProtection="1"/>
    <xf numFmtId="0" fontId="17" fillId="0" borderId="0" xfId="2" applyFill="1" applyBorder="1" applyProtection="1"/>
    <xf numFmtId="9" fontId="4" fillId="4" borderId="8" xfId="3" applyFont="1" applyFill="1" applyBorder="1" applyAlignment="1" applyProtection="1">
      <alignment vertical="top"/>
    </xf>
    <xf numFmtId="9" fontId="0" fillId="0" borderId="0" xfId="0" applyNumberFormat="1"/>
    <xf numFmtId="9" fontId="4" fillId="4" borderId="12" xfId="0" applyNumberFormat="1" applyFont="1" applyFill="1" applyBorder="1" applyAlignment="1">
      <alignment horizontal="center" vertical="top"/>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9" fontId="0" fillId="6" borderId="0" xfId="3" applyFont="1" applyFill="1" applyAlignment="1" applyProtection="1">
      <alignment horizontal="center" vertical="top"/>
      <protection hidden="1"/>
    </xf>
    <xf numFmtId="9" fontId="0" fillId="6" borderId="16" xfId="3" applyFont="1" applyFill="1" applyBorder="1" applyAlignment="1" applyProtection="1">
      <alignment horizontal="center" vertical="top"/>
      <protection hidden="1"/>
    </xf>
    <xf numFmtId="0" fontId="7" fillId="6" borderId="16" xfId="3" applyNumberFormat="1" applyFont="1" applyFill="1" applyBorder="1" applyAlignment="1" applyProtection="1">
      <alignment horizontal="left" vertical="top" wrapText="1"/>
      <protection hidden="1"/>
    </xf>
    <xf numFmtId="0" fontId="7" fillId="6" borderId="18" xfId="3" applyNumberFormat="1" applyFont="1" applyFill="1" applyBorder="1" applyAlignment="1" applyProtection="1">
      <alignment horizontal="left" vertical="top" wrapText="1"/>
      <protection hidden="1"/>
    </xf>
    <xf numFmtId="0" fontId="4" fillId="0" borderId="6" xfId="0" applyFont="1" applyBorder="1" applyAlignment="1">
      <alignment horizontal="center" vertical="top"/>
    </xf>
    <xf numFmtId="0" fontId="4" fillId="3" borderId="7" xfId="0" applyFont="1" applyFill="1" applyBorder="1" applyAlignment="1">
      <alignment horizontal="center" vertical="top"/>
    </xf>
    <xf numFmtId="0" fontId="4" fillId="0" borderId="0" xfId="0" applyFont="1" applyAlignment="1">
      <alignment horizontal="right" vertical="top" wrapText="1"/>
    </xf>
    <xf numFmtId="0" fontId="30" fillId="0" borderId="0" xfId="0" applyFont="1" applyAlignment="1">
      <alignment vertical="center" wrapText="1"/>
    </xf>
    <xf numFmtId="0" fontId="30" fillId="0" borderId="0" xfId="0" applyFont="1" applyAlignment="1">
      <alignment vertical="center"/>
    </xf>
    <xf numFmtId="0" fontId="30" fillId="0" borderId="0" xfId="5" applyFont="1" applyAlignment="1">
      <alignment vertical="center" wrapText="1"/>
    </xf>
    <xf numFmtId="0" fontId="30" fillId="0" borderId="0" xfId="5" applyFont="1" applyAlignment="1">
      <alignment vertical="center"/>
    </xf>
    <xf numFmtId="0" fontId="37" fillId="0" borderId="34" xfId="5" applyFont="1" applyBorder="1" applyAlignment="1">
      <alignment horizontal="left" vertical="center" wrapText="1" indent="2"/>
    </xf>
    <xf numFmtId="3" fontId="37" fillId="0" borderId="43" xfId="5" applyNumberFormat="1" applyFont="1" applyBorder="1" applyAlignment="1">
      <alignment vertical="center" wrapText="1"/>
    </xf>
    <xf numFmtId="3" fontId="37" fillId="0" borderId="44" xfId="5" applyNumberFormat="1" applyFont="1" applyBorder="1" applyAlignment="1">
      <alignment vertical="center" wrapText="1"/>
    </xf>
    <xf numFmtId="3" fontId="36" fillId="0" borderId="43" xfId="5" applyNumberFormat="1" applyFont="1" applyBorder="1" applyAlignment="1">
      <alignment vertical="center" wrapText="1"/>
    </xf>
    <xf numFmtId="0" fontId="37" fillId="0" borderId="44" xfId="5" applyFont="1" applyBorder="1" applyAlignment="1">
      <alignment horizontal="left" vertical="center" wrapText="1" indent="2"/>
    </xf>
    <xf numFmtId="0" fontId="37" fillId="0" borderId="45" xfId="5" applyFont="1" applyBorder="1" applyAlignment="1">
      <alignment horizontal="left" vertical="center" wrapText="1" indent="2"/>
    </xf>
    <xf numFmtId="0" fontId="37" fillId="0" borderId="43" xfId="5" applyFont="1" applyBorder="1" applyAlignment="1">
      <alignment horizontal="left" vertical="center" wrapText="1" indent="2"/>
    </xf>
    <xf numFmtId="3" fontId="37" fillId="0" borderId="46" xfId="5" applyNumberFormat="1" applyFont="1" applyBorder="1" applyAlignment="1">
      <alignment vertical="center" wrapText="1"/>
    </xf>
    <xf numFmtId="3" fontId="37" fillId="0" borderId="47" xfId="5" applyNumberFormat="1" applyFont="1" applyBorder="1" applyAlignment="1">
      <alignment vertical="center" wrapText="1"/>
    </xf>
    <xf numFmtId="3" fontId="36" fillId="0" borderId="46" xfId="5" applyNumberFormat="1" applyFont="1" applyBorder="1" applyAlignment="1">
      <alignment vertical="center" wrapText="1"/>
    </xf>
    <xf numFmtId="0" fontId="37" fillId="0" borderId="38" xfId="5" applyFont="1" applyBorder="1" applyAlignment="1">
      <alignment horizontal="left" vertical="center" wrapText="1" indent="2"/>
    </xf>
    <xf numFmtId="3" fontId="37" fillId="0" borderId="48" xfId="5" applyNumberFormat="1" applyFont="1" applyBorder="1" applyAlignment="1">
      <alignment vertical="center" wrapText="1"/>
    </xf>
    <xf numFmtId="3" fontId="37" fillId="0" borderId="49" xfId="5" applyNumberFormat="1" applyFont="1" applyBorder="1" applyAlignment="1">
      <alignment vertical="center" wrapText="1"/>
    </xf>
    <xf numFmtId="3" fontId="36" fillId="0" borderId="48" xfId="5" applyNumberFormat="1" applyFont="1" applyBorder="1" applyAlignment="1">
      <alignment vertical="center" wrapText="1"/>
    </xf>
    <xf numFmtId="0" fontId="37" fillId="13" borderId="12" xfId="5" applyFont="1" applyFill="1" applyBorder="1" applyAlignment="1">
      <alignment vertical="center" wrapText="1"/>
    </xf>
    <xf numFmtId="3" fontId="36" fillId="13" borderId="12" xfId="5" applyNumberFormat="1" applyFont="1" applyFill="1" applyBorder="1" applyAlignment="1">
      <alignment vertical="center" wrapText="1"/>
    </xf>
    <xf numFmtId="0" fontId="33" fillId="0" borderId="0" xfId="5" applyFont="1" applyAlignment="1">
      <alignment horizontal="center" vertical="center" wrapText="1"/>
    </xf>
    <xf numFmtId="0" fontId="33" fillId="0" borderId="0" xfId="5" applyFont="1" applyAlignment="1">
      <alignment horizontal="left" vertical="center" wrapText="1"/>
    </xf>
    <xf numFmtId="0" fontId="32" fillId="0" borderId="0" xfId="5" applyAlignment="1">
      <alignment vertical="center"/>
    </xf>
    <xf numFmtId="0" fontId="39" fillId="13" borderId="1" xfId="5" applyFont="1" applyFill="1" applyBorder="1" applyAlignment="1">
      <alignment horizontal="center" vertical="center" wrapText="1"/>
    </xf>
    <xf numFmtId="0" fontId="39" fillId="0" borderId="44" xfId="5" applyFont="1" applyBorder="1" applyAlignment="1">
      <alignment vertical="center" wrapText="1"/>
    </xf>
    <xf numFmtId="0" fontId="40" fillId="0" borderId="44" xfId="5" applyFont="1" applyBorder="1" applyAlignment="1">
      <alignment horizontal="justify" vertical="center" wrapText="1"/>
    </xf>
    <xf numFmtId="0" fontId="39" fillId="0" borderId="49" xfId="5" applyFont="1" applyBorder="1" applyAlignment="1">
      <alignment vertical="center" wrapText="1"/>
    </xf>
    <xf numFmtId="0" fontId="40" fillId="0" borderId="49" xfId="5" applyFont="1" applyBorder="1" applyAlignment="1">
      <alignment horizontal="justify" vertical="center" wrapText="1"/>
    </xf>
    <xf numFmtId="0" fontId="0" fillId="0" borderId="0" xfId="0" applyAlignment="1">
      <alignment vertical="center"/>
    </xf>
    <xf numFmtId="0" fontId="22" fillId="0" borderId="31" xfId="0" applyFont="1" applyBorder="1" applyAlignment="1">
      <alignment vertical="center"/>
    </xf>
    <xf numFmtId="0" fontId="0" fillId="0" borderId="33" xfId="0"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0" fillId="0" borderId="39" xfId="0" applyBorder="1" applyAlignment="1">
      <alignment vertical="center"/>
    </xf>
    <xf numFmtId="0" fontId="31" fillId="12" borderId="14" xfId="5" applyFont="1" applyFill="1" applyBorder="1" applyAlignment="1">
      <alignment vertical="center" wrapText="1"/>
    </xf>
    <xf numFmtId="0" fontId="31" fillId="12" borderId="15" xfId="5" applyFont="1" applyFill="1" applyBorder="1" applyAlignment="1">
      <alignment vertical="center" wrapText="1"/>
    </xf>
    <xf numFmtId="0" fontId="31" fillId="12" borderId="7" xfId="5" applyFont="1" applyFill="1" applyBorder="1" applyAlignment="1">
      <alignment vertical="center" wrapText="1"/>
    </xf>
    <xf numFmtId="0" fontId="31" fillId="12" borderId="15" xfId="0" applyFont="1" applyFill="1" applyBorder="1" applyAlignment="1">
      <alignment vertical="center" wrapText="1"/>
    </xf>
    <xf numFmtId="0" fontId="31" fillId="12" borderId="7" xfId="0" applyFont="1" applyFill="1" applyBorder="1" applyAlignment="1">
      <alignment vertical="center" wrapText="1"/>
    </xf>
    <xf numFmtId="0" fontId="30" fillId="11" borderId="14" xfId="0" applyFont="1" applyFill="1" applyBorder="1" applyAlignment="1">
      <alignment vertical="center" wrapText="1"/>
    </xf>
    <xf numFmtId="0" fontId="30" fillId="11" borderId="15" xfId="0" applyFont="1" applyFill="1" applyBorder="1" applyAlignment="1">
      <alignment vertical="center" wrapText="1"/>
    </xf>
    <xf numFmtId="0" fontId="30" fillId="11" borderId="7" xfId="0" applyFont="1" applyFill="1" applyBorder="1" applyAlignment="1">
      <alignment vertical="center" wrapText="1"/>
    </xf>
    <xf numFmtId="0" fontId="4" fillId="3" borderId="30" xfId="0" applyFont="1" applyFill="1" applyBorder="1" applyAlignment="1">
      <alignment vertical="top" wrapText="1"/>
    </xf>
    <xf numFmtId="49" fontId="43" fillId="0" borderId="59" xfId="5" applyNumberFormat="1" applyFont="1" applyBorder="1" applyAlignment="1">
      <alignment vertical="center" wrapText="1"/>
    </xf>
    <xf numFmtId="49" fontId="43" fillId="0" borderId="59" xfId="5" quotePrefix="1" applyNumberFormat="1" applyFont="1" applyBorder="1" applyAlignment="1">
      <alignment vertical="center" wrapText="1"/>
    </xf>
    <xf numFmtId="0" fontId="43" fillId="0" borderId="59" xfId="5" applyFont="1" applyBorder="1" applyAlignment="1">
      <alignment vertical="center" wrapText="1"/>
    </xf>
    <xf numFmtId="49" fontId="44" fillId="0" borderId="58" xfId="5" applyNumberFormat="1" applyFont="1" applyBorder="1" applyAlignment="1">
      <alignment horizontal="center" vertical="center" wrapText="1"/>
    </xf>
    <xf numFmtId="49" fontId="43" fillId="9" borderId="58" xfId="5" applyNumberFormat="1" applyFont="1" applyFill="1" applyBorder="1" applyAlignment="1">
      <alignment horizontal="center" vertical="center" wrapText="1"/>
    </xf>
    <xf numFmtId="49" fontId="43" fillId="19" borderId="58" xfId="5" applyNumberFormat="1" applyFont="1" applyFill="1" applyBorder="1" applyAlignment="1">
      <alignment horizontal="center" vertical="center"/>
    </xf>
    <xf numFmtId="49" fontId="45" fillId="19" borderId="58" xfId="5" applyNumberFormat="1" applyFont="1" applyFill="1" applyBorder="1" applyAlignment="1">
      <alignment horizontal="center" vertical="center"/>
    </xf>
    <xf numFmtId="0" fontId="43" fillId="19" borderId="58" xfId="5" applyFont="1" applyFill="1" applyBorder="1" applyAlignment="1">
      <alignment horizontal="left" vertical="center"/>
    </xf>
    <xf numFmtId="49" fontId="43" fillId="20" borderId="58" xfId="5" applyNumberFormat="1" applyFont="1" applyFill="1" applyBorder="1" applyAlignment="1">
      <alignment horizontal="center" vertical="center"/>
    </xf>
    <xf numFmtId="49" fontId="43" fillId="21" borderId="58" xfId="5" applyNumberFormat="1" applyFont="1" applyFill="1" applyBorder="1" applyAlignment="1">
      <alignment horizontal="center" vertical="center"/>
    </xf>
    <xf numFmtId="49" fontId="45" fillId="0" borderId="58" xfId="5" applyNumberFormat="1" applyFont="1" applyBorder="1" applyAlignment="1">
      <alignment horizontal="center" vertical="center"/>
    </xf>
    <xf numFmtId="0" fontId="45" fillId="0" borderId="58" xfId="5" applyFont="1" applyBorder="1" applyAlignment="1">
      <alignment horizontal="center" vertical="center"/>
    </xf>
    <xf numFmtId="0" fontId="33" fillId="23" borderId="64" xfId="0" applyFont="1" applyFill="1" applyBorder="1"/>
    <xf numFmtId="0" fontId="49" fillId="0" borderId="62" xfId="0" applyFont="1" applyBorder="1" applyAlignment="1">
      <alignment horizontal="left" vertical="center"/>
    </xf>
    <xf numFmtId="49" fontId="46" fillId="24" borderId="64" xfId="0" applyNumberFormat="1" applyFont="1" applyFill="1" applyBorder="1" applyAlignment="1">
      <alignment horizontal="center" vertical="center"/>
    </xf>
    <xf numFmtId="0" fontId="46" fillId="24" borderId="64" xfId="0" applyFont="1" applyFill="1" applyBorder="1" applyAlignment="1">
      <alignment horizontal="center" vertical="center"/>
    </xf>
    <xf numFmtId="0" fontId="50" fillId="0" borderId="64" xfId="0" applyFont="1" applyBorder="1" applyAlignment="1">
      <alignment horizontal="center" vertical="center"/>
    </xf>
    <xf numFmtId="49" fontId="50" fillId="0" borderId="64" xfId="0" applyNumberFormat="1" applyFont="1" applyBorder="1" applyAlignment="1">
      <alignment horizontal="center" vertical="center"/>
    </xf>
    <xf numFmtId="164" fontId="30" fillId="0" borderId="64" xfId="4" applyNumberFormat="1" applyFont="1" applyBorder="1" applyAlignment="1">
      <alignment horizontal="center"/>
    </xf>
    <xf numFmtId="164" fontId="30" fillId="0" borderId="64" xfId="4" applyNumberFormat="1" applyFont="1" applyFill="1" applyBorder="1" applyAlignment="1">
      <alignment horizontal="center"/>
    </xf>
    <xf numFmtId="0" fontId="50" fillId="25" borderId="64" xfId="0" applyFont="1" applyFill="1" applyBorder="1" applyAlignment="1">
      <alignment horizontal="center" vertical="center"/>
    </xf>
    <xf numFmtId="164" fontId="30" fillId="25" borderId="64" xfId="4" applyNumberFormat="1" applyFont="1" applyFill="1" applyBorder="1" applyAlignment="1">
      <alignment horizontal="center"/>
    </xf>
    <xf numFmtId="0" fontId="50" fillId="24" borderId="64" xfId="0" applyFont="1" applyFill="1" applyBorder="1" applyAlignment="1">
      <alignment horizontal="center" vertical="center"/>
    </xf>
    <xf numFmtId="0" fontId="30" fillId="24" borderId="64" xfId="0" applyFont="1" applyFill="1" applyBorder="1"/>
    <xf numFmtId="164" fontId="30" fillId="24" borderId="64" xfId="4" applyNumberFormat="1" applyFont="1" applyFill="1" applyBorder="1" applyAlignment="1">
      <alignment horizontal="center"/>
    </xf>
    <xf numFmtId="0" fontId="30" fillId="25" borderId="64" xfId="0" quotePrefix="1" applyFont="1" applyFill="1" applyBorder="1" applyAlignment="1">
      <alignment horizontal="left"/>
    </xf>
    <xf numFmtId="0" fontId="30" fillId="0" borderId="64" xfId="0" quotePrefix="1" applyFont="1" applyBorder="1" applyAlignment="1">
      <alignment horizontal="left"/>
    </xf>
    <xf numFmtId="0" fontId="30" fillId="25" borderId="64" xfId="0" quotePrefix="1" applyFont="1" applyFill="1" applyBorder="1" applyAlignment="1">
      <alignment horizontal="center"/>
    </xf>
    <xf numFmtId="164" fontId="30" fillId="25" borderId="64" xfId="4" quotePrefix="1" applyNumberFormat="1" applyFont="1" applyFill="1" applyBorder="1" applyAlignment="1">
      <alignment horizontal="left"/>
    </xf>
    <xf numFmtId="0" fontId="54" fillId="0" borderId="0" xfId="0" applyFont="1"/>
    <xf numFmtId="0" fontId="30" fillId="0" borderId="16" xfId="2" applyFont="1" applyBorder="1" applyAlignment="1" applyProtection="1">
      <alignment horizontal="left" vertical="top"/>
    </xf>
    <xf numFmtId="3" fontId="36" fillId="0" borderId="19" xfId="5" applyNumberFormat="1" applyFont="1" applyBorder="1" applyAlignment="1">
      <alignment vertical="center" wrapText="1"/>
    </xf>
    <xf numFmtId="3" fontId="36" fillId="0" borderId="22" xfId="5" applyNumberFormat="1" applyFont="1" applyBorder="1" applyAlignment="1">
      <alignment vertical="center" wrapText="1"/>
    </xf>
    <xf numFmtId="3" fontId="36" fillId="0" borderId="50" xfId="5" applyNumberFormat="1" applyFont="1" applyBorder="1" applyAlignment="1">
      <alignment vertical="center" wrapText="1"/>
    </xf>
    <xf numFmtId="3" fontId="36" fillId="0" borderId="16" xfId="5" applyNumberFormat="1" applyFont="1" applyBorder="1" applyAlignment="1">
      <alignment vertical="center" wrapText="1"/>
    </xf>
    <xf numFmtId="3" fontId="36" fillId="0" borderId="34" xfId="5" applyNumberFormat="1" applyFont="1" applyBorder="1" applyAlignment="1">
      <alignment vertical="center" wrapText="1"/>
    </xf>
    <xf numFmtId="3" fontId="36" fillId="0" borderId="35" xfId="5" applyNumberFormat="1" applyFont="1" applyBorder="1" applyAlignment="1">
      <alignment vertical="center" wrapText="1"/>
    </xf>
    <xf numFmtId="3" fontId="36" fillId="0" borderId="38" xfId="5" applyNumberFormat="1" applyFont="1" applyBorder="1" applyAlignment="1">
      <alignment vertical="center" wrapText="1"/>
    </xf>
    <xf numFmtId="3" fontId="36" fillId="0" borderId="36" xfId="5" applyNumberFormat="1" applyFont="1" applyBorder="1" applyAlignment="1">
      <alignment vertical="center" wrapText="1"/>
    </xf>
    <xf numFmtId="3" fontId="36" fillId="0" borderId="39" xfId="5" applyNumberFormat="1" applyFont="1" applyBorder="1" applyAlignment="1">
      <alignment vertical="center" wrapText="1"/>
    </xf>
    <xf numFmtId="0" fontId="37" fillId="0" borderId="49" xfId="5" applyFont="1" applyBorder="1" applyAlignment="1">
      <alignment horizontal="left" vertical="center" wrapText="1" indent="2"/>
    </xf>
    <xf numFmtId="3" fontId="37" fillId="0" borderId="43" xfId="5" applyNumberFormat="1" applyFont="1" applyBorder="1" applyAlignment="1">
      <alignment horizontal="center" vertical="center" wrapText="1"/>
    </xf>
    <xf numFmtId="3" fontId="37" fillId="0" borderId="48" xfId="5" applyNumberFormat="1" applyFont="1" applyBorder="1" applyAlignment="1">
      <alignment horizontal="center" vertical="center" wrapText="1"/>
    </xf>
    <xf numFmtId="3" fontId="37" fillId="0" borderId="46" xfId="5" applyNumberFormat="1" applyFont="1" applyBorder="1" applyAlignment="1">
      <alignment horizontal="center" vertical="center" wrapText="1"/>
    </xf>
    <xf numFmtId="0" fontId="37" fillId="0" borderId="46" xfId="5" applyFont="1" applyBorder="1" applyAlignment="1">
      <alignment horizontal="center" vertical="center" wrapText="1"/>
    </xf>
    <xf numFmtId="0" fontId="30" fillId="0" borderId="0" xfId="5" applyFont="1" applyAlignment="1">
      <alignment horizontal="center" vertical="center" wrapText="1"/>
    </xf>
    <xf numFmtId="9" fontId="37" fillId="0" borderId="43" xfId="3" applyFont="1" applyFill="1" applyBorder="1" applyAlignment="1">
      <alignment horizontal="center" vertical="center" wrapText="1"/>
    </xf>
    <xf numFmtId="169" fontId="37" fillId="0" borderId="43" xfId="5" applyNumberFormat="1" applyFont="1" applyBorder="1" applyAlignment="1">
      <alignment horizontal="center" vertical="center" wrapText="1"/>
    </xf>
    <xf numFmtId="9" fontId="37" fillId="0" borderId="46" xfId="3" applyFont="1" applyFill="1" applyBorder="1" applyAlignment="1">
      <alignment horizontal="center" vertical="center" wrapText="1"/>
    </xf>
    <xf numFmtId="9" fontId="37" fillId="0" borderId="48" xfId="3" applyFont="1" applyFill="1" applyBorder="1" applyAlignment="1">
      <alignment horizontal="center" vertical="center" wrapText="1"/>
    </xf>
    <xf numFmtId="169" fontId="37" fillId="0" borderId="49" xfId="5" applyNumberFormat="1" applyFont="1" applyBorder="1" applyAlignment="1">
      <alignment horizontal="center" vertical="center" wrapText="1"/>
    </xf>
    <xf numFmtId="9" fontId="37" fillId="0" borderId="46" xfId="5" applyNumberFormat="1" applyFont="1" applyBorder="1" applyAlignment="1">
      <alignment horizontal="center" vertical="center" wrapText="1"/>
    </xf>
    <xf numFmtId="9" fontId="37" fillId="0" borderId="49" xfId="3" applyFont="1" applyFill="1" applyBorder="1" applyAlignment="1">
      <alignment horizontal="center" vertical="center" wrapText="1"/>
    </xf>
    <xf numFmtId="3" fontId="37" fillId="0" borderId="44" xfId="5" applyNumberFormat="1" applyFont="1" applyBorder="1" applyAlignment="1">
      <alignment horizontal="center" vertical="center" wrapText="1"/>
    </xf>
    <xf numFmtId="3" fontId="37" fillId="0" borderId="49" xfId="5" applyNumberFormat="1" applyFont="1" applyBorder="1" applyAlignment="1">
      <alignment horizontal="center" vertical="center" wrapText="1"/>
    </xf>
    <xf numFmtId="9" fontId="31" fillId="12" borderId="15" xfId="3" applyFont="1" applyFill="1" applyBorder="1" applyAlignment="1">
      <alignment horizontal="center" vertical="center" wrapText="1"/>
    </xf>
    <xf numFmtId="9" fontId="37" fillId="0" borderId="44" xfId="3" applyFont="1" applyFill="1" applyBorder="1" applyAlignment="1">
      <alignment horizontal="center" vertical="center" wrapText="1"/>
    </xf>
    <xf numFmtId="9" fontId="37" fillId="0" borderId="47" xfId="3" applyFont="1" applyFill="1" applyBorder="1" applyAlignment="1">
      <alignment horizontal="center" vertical="center" wrapText="1"/>
    </xf>
    <xf numFmtId="9" fontId="30" fillId="0" borderId="0" xfId="3" applyFont="1" applyFill="1" applyAlignment="1">
      <alignment horizontal="center" vertical="center" wrapText="1"/>
    </xf>
    <xf numFmtId="9" fontId="33" fillId="0" borderId="0" xfId="3" applyFont="1" applyFill="1" applyBorder="1" applyAlignment="1">
      <alignment horizontal="center" vertical="center" wrapText="1"/>
    </xf>
    <xf numFmtId="9" fontId="37" fillId="0" borderId="19" xfId="3" applyFont="1" applyFill="1" applyBorder="1" applyAlignment="1">
      <alignment horizontal="center" vertical="center" wrapText="1"/>
    </xf>
    <xf numFmtId="9" fontId="37" fillId="0" borderId="50" xfId="3" applyFont="1" applyFill="1" applyBorder="1" applyAlignment="1">
      <alignment horizontal="center" vertical="center" wrapText="1"/>
    </xf>
    <xf numFmtId="9" fontId="37" fillId="0" borderId="22" xfId="3" applyFont="1" applyFill="1" applyBorder="1" applyAlignment="1">
      <alignment horizontal="center" vertical="center" wrapText="1"/>
    </xf>
    <xf numFmtId="9" fontId="33" fillId="13" borderId="7" xfId="3" applyFont="1" applyFill="1" applyBorder="1" applyAlignment="1">
      <alignment horizontal="center" vertical="center" wrapText="1"/>
    </xf>
    <xf numFmtId="41" fontId="36" fillId="13" borderId="12" xfId="7" applyFont="1" applyFill="1" applyBorder="1" applyAlignment="1">
      <alignment vertical="center" wrapText="1"/>
    </xf>
    <xf numFmtId="164" fontId="30" fillId="28" borderId="64" xfId="4" applyNumberFormat="1" applyFont="1" applyFill="1" applyBorder="1" applyAlignment="1">
      <alignment horizontal="center"/>
    </xf>
    <xf numFmtId="0" fontId="50" fillId="25" borderId="64" xfId="0" quotePrefix="1" applyFont="1" applyFill="1" applyBorder="1" applyAlignment="1">
      <alignment horizontal="center" vertical="center"/>
    </xf>
    <xf numFmtId="49" fontId="50" fillId="0" borderId="64" xfId="0" quotePrefix="1" applyNumberFormat="1" applyFont="1" applyBorder="1" applyAlignment="1">
      <alignment horizontal="center" vertical="center"/>
    </xf>
    <xf numFmtId="0" fontId="50" fillId="28" borderId="64" xfId="0" applyFont="1" applyFill="1" applyBorder="1" applyAlignment="1">
      <alignment horizontal="center" vertical="center"/>
    </xf>
    <xf numFmtId="0" fontId="50" fillId="0" borderId="64" xfId="0" quotePrefix="1" applyFont="1" applyBorder="1" applyAlignment="1">
      <alignment horizontal="center" vertical="center"/>
    </xf>
    <xf numFmtId="0" fontId="50" fillId="28" borderId="64" xfId="0" quotePrefix="1" applyFont="1" applyFill="1" applyBorder="1" applyAlignment="1">
      <alignment horizontal="center" vertical="center"/>
    </xf>
    <xf numFmtId="0" fontId="30" fillId="9" borderId="64" xfId="0" quotePrefix="1" applyFont="1" applyFill="1" applyBorder="1" applyAlignment="1">
      <alignment horizontal="left"/>
    </xf>
    <xf numFmtId="3" fontId="37" fillId="0" borderId="47" xfId="5" applyNumberFormat="1" applyFont="1" applyBorder="1" applyAlignment="1">
      <alignment horizontal="center" vertical="center" wrapText="1"/>
    </xf>
    <xf numFmtId="0" fontId="34" fillId="13" borderId="7" xfId="5" applyFont="1" applyFill="1" applyBorder="1" applyAlignment="1">
      <alignment horizontal="center" vertical="center" wrapText="1"/>
    </xf>
    <xf numFmtId="0" fontId="31" fillId="12" borderId="15" xfId="5" applyFont="1" applyFill="1" applyBorder="1" applyAlignment="1">
      <alignment horizontal="center" vertical="center" wrapText="1"/>
    </xf>
    <xf numFmtId="0" fontId="17" fillId="3" borderId="8" xfId="2" applyFill="1" applyBorder="1" applyAlignment="1" applyProtection="1">
      <alignment vertical="top"/>
      <protection locked="0"/>
    </xf>
    <xf numFmtId="0" fontId="17" fillId="3" borderId="8" xfId="2" applyFill="1" applyBorder="1" applyAlignment="1" applyProtection="1">
      <alignment horizontal="left" vertical="top"/>
      <protection locked="0"/>
    </xf>
    <xf numFmtId="0" fontId="4" fillId="3" borderId="8" xfId="0" applyFont="1" applyFill="1" applyBorder="1" applyAlignment="1" applyProtection="1">
      <alignment vertical="center" wrapText="1"/>
      <protection locked="0"/>
    </xf>
    <xf numFmtId="0" fontId="4" fillId="3" borderId="8" xfId="0" applyFont="1" applyFill="1" applyBorder="1" applyAlignment="1" applyProtection="1">
      <alignment vertical="center"/>
      <protection locked="0"/>
    </xf>
    <xf numFmtId="0" fontId="4" fillId="0" borderId="1" xfId="0" applyFont="1" applyBorder="1" applyAlignment="1">
      <alignment horizontal="center" vertical="center" wrapText="1"/>
    </xf>
    <xf numFmtId="170" fontId="37" fillId="0" borderId="43" xfId="3" applyNumberFormat="1" applyFont="1" applyFill="1" applyBorder="1" applyAlignment="1">
      <alignment horizontal="center" vertical="center" wrapText="1"/>
    </xf>
    <xf numFmtId="10" fontId="37" fillId="0" borderId="46" xfId="3" applyNumberFormat="1" applyFont="1" applyFill="1" applyBorder="1" applyAlignment="1">
      <alignment horizontal="center" vertical="center" wrapText="1"/>
    </xf>
    <xf numFmtId="0" fontId="4" fillId="3" borderId="8" xfId="0" applyFont="1" applyFill="1" applyBorder="1" applyAlignment="1" applyProtection="1">
      <alignment horizontal="center" vertical="center"/>
      <protection locked="0"/>
    </xf>
    <xf numFmtId="0" fontId="36" fillId="15" borderId="2" xfId="5" applyFont="1" applyFill="1" applyBorder="1" applyAlignment="1">
      <alignment horizontal="center" vertical="top" wrapText="1"/>
    </xf>
    <xf numFmtId="49" fontId="43" fillId="0" borderId="58" xfId="5" applyNumberFormat="1" applyFont="1" applyBorder="1" applyAlignment="1">
      <alignment horizontal="center" vertical="center"/>
    </xf>
    <xf numFmtId="164" fontId="55" fillId="24" borderId="64" xfId="4" applyNumberFormat="1" applyFont="1" applyFill="1" applyBorder="1" applyAlignment="1">
      <alignment horizontal="center" vertical="center"/>
    </xf>
    <xf numFmtId="9" fontId="37" fillId="0" borderId="40" xfId="3" applyFont="1" applyFill="1" applyBorder="1" applyAlignment="1">
      <alignment horizontal="center" vertical="center" wrapText="1"/>
    </xf>
    <xf numFmtId="9" fontId="37" fillId="0" borderId="42" xfId="3" applyFont="1" applyFill="1" applyBorder="1" applyAlignment="1">
      <alignment horizontal="center" vertical="center" wrapText="1"/>
    </xf>
    <xf numFmtId="3" fontId="37" fillId="0" borderId="51" xfId="5" applyNumberFormat="1" applyFont="1" applyBorder="1" applyAlignment="1">
      <alignment horizontal="center" vertical="center" wrapText="1"/>
    </xf>
    <xf numFmtId="4" fontId="37" fillId="0" borderId="43" xfId="5" applyNumberFormat="1" applyFont="1" applyBorder="1" applyAlignment="1">
      <alignment horizontal="center" vertical="center" wrapText="1"/>
    </xf>
    <xf numFmtId="9" fontId="37" fillId="0" borderId="25" xfId="3" applyFont="1" applyFill="1" applyBorder="1" applyAlignment="1">
      <alignment horizontal="center" vertical="center" wrapText="1"/>
    </xf>
    <xf numFmtId="9" fontId="37" fillId="0" borderId="14" xfId="3" applyFont="1" applyFill="1" applyBorder="1" applyAlignment="1">
      <alignment horizontal="center" vertical="center" wrapText="1"/>
    </xf>
    <xf numFmtId="9" fontId="37" fillId="0" borderId="12" xfId="3" applyFont="1" applyFill="1" applyBorder="1" applyAlignment="1">
      <alignment horizontal="center" vertical="center" wrapText="1"/>
    </xf>
    <xf numFmtId="0" fontId="4" fillId="29" borderId="8" xfId="0" applyFont="1" applyFill="1" applyBorder="1" applyAlignment="1" applyProtection="1">
      <alignment vertical="top" wrapText="1"/>
      <protection locked="0"/>
    </xf>
    <xf numFmtId="3" fontId="8" fillId="3" borderId="8" xfId="0" applyNumberFormat="1" applyFont="1" applyFill="1" applyBorder="1" applyAlignment="1" applyProtection="1">
      <alignment vertical="top" wrapText="1"/>
      <protection locked="0"/>
    </xf>
    <xf numFmtId="0" fontId="62" fillId="0" borderId="0" xfId="5" applyFont="1" applyAlignment="1">
      <alignment vertical="center"/>
    </xf>
    <xf numFmtId="0" fontId="63" fillId="0" borderId="44" xfId="5" applyFont="1" applyBorder="1" applyAlignment="1">
      <alignment vertical="center" wrapText="1"/>
    </xf>
    <xf numFmtId="0" fontId="64" fillId="0" borderId="44" xfId="5" applyFont="1" applyBorder="1" applyAlignment="1">
      <alignment horizontal="justify" vertical="center" wrapText="1"/>
    </xf>
    <xf numFmtId="0" fontId="39" fillId="0" borderId="47" xfId="5" applyFont="1" applyBorder="1" applyAlignment="1">
      <alignment vertical="center" wrapText="1"/>
    </xf>
    <xf numFmtId="0" fontId="40" fillId="0" borderId="47" xfId="5" applyFont="1" applyBorder="1" applyAlignment="1">
      <alignment horizontal="justify" vertical="center" wrapText="1"/>
    </xf>
    <xf numFmtId="3" fontId="37" fillId="31" borderId="41" xfId="5" applyNumberFormat="1" applyFont="1" applyFill="1" applyBorder="1" applyAlignment="1">
      <alignment horizontal="center" vertical="center" wrapText="1"/>
    </xf>
    <xf numFmtId="9" fontId="38" fillId="31" borderId="40" xfId="3" applyFont="1" applyFill="1" applyBorder="1" applyAlignment="1">
      <alignment horizontal="center" vertical="center" wrapText="1"/>
    </xf>
    <xf numFmtId="3" fontId="36" fillId="31" borderId="42" xfId="5" applyNumberFormat="1" applyFont="1" applyFill="1" applyBorder="1" applyAlignment="1">
      <alignment vertical="center" wrapText="1"/>
    </xf>
    <xf numFmtId="9" fontId="36" fillId="31" borderId="40" xfId="3" applyFont="1" applyFill="1" applyBorder="1" applyAlignment="1">
      <alignment horizontal="center" vertical="center" wrapText="1"/>
    </xf>
    <xf numFmtId="3" fontId="36" fillId="31" borderId="30" xfId="5" applyNumberFormat="1" applyFont="1" applyFill="1" applyBorder="1" applyAlignment="1">
      <alignment vertical="center" wrapText="1"/>
    </xf>
    <xf numFmtId="3" fontId="36" fillId="31" borderId="45" xfId="5" applyNumberFormat="1" applyFont="1" applyFill="1" applyBorder="1" applyAlignment="1">
      <alignment vertical="center" wrapText="1"/>
    </xf>
    <xf numFmtId="3" fontId="36" fillId="31" borderId="66" xfId="5" applyNumberFormat="1" applyFont="1" applyFill="1" applyBorder="1" applyAlignment="1">
      <alignment vertical="center" wrapText="1"/>
    </xf>
    <xf numFmtId="0" fontId="37" fillId="32" borderId="44" xfId="0" applyFont="1" applyFill="1" applyBorder="1" applyAlignment="1">
      <alignment horizontal="center" wrapText="1"/>
    </xf>
    <xf numFmtId="9" fontId="36" fillId="33" borderId="43" xfId="3" applyFont="1" applyFill="1" applyBorder="1" applyAlignment="1">
      <alignment horizontal="center" vertical="center" wrapText="1"/>
    </xf>
    <xf numFmtId="9" fontId="36" fillId="33" borderId="44" xfId="3" applyFont="1" applyFill="1" applyBorder="1" applyAlignment="1">
      <alignment horizontal="center" vertical="center" wrapText="1"/>
    </xf>
    <xf numFmtId="3" fontId="36" fillId="33" borderId="25" xfId="5" applyNumberFormat="1" applyFont="1" applyFill="1" applyBorder="1" applyAlignment="1">
      <alignment vertical="center" wrapText="1"/>
    </xf>
    <xf numFmtId="3" fontId="36" fillId="33" borderId="34" xfId="5" applyNumberFormat="1" applyFont="1" applyFill="1" applyBorder="1" applyAlignment="1">
      <alignment vertical="center" wrapText="1"/>
    </xf>
    <xf numFmtId="3" fontId="36" fillId="33" borderId="16" xfId="5" applyNumberFormat="1" applyFont="1" applyFill="1" applyBorder="1" applyAlignment="1">
      <alignment vertical="center" wrapText="1"/>
    </xf>
    <xf numFmtId="3" fontId="36" fillId="33" borderId="35" xfId="5" applyNumberFormat="1" applyFont="1" applyFill="1" applyBorder="1" applyAlignment="1">
      <alignment vertical="center" wrapText="1"/>
    </xf>
    <xf numFmtId="0" fontId="37" fillId="32" borderId="44" xfId="0" applyFont="1" applyFill="1" applyBorder="1" applyAlignment="1">
      <alignment horizontal="center" vertical="center" wrapText="1"/>
    </xf>
    <xf numFmtId="0" fontId="36" fillId="32" borderId="44" xfId="0" applyFont="1" applyFill="1" applyBorder="1" applyAlignment="1">
      <alignment horizontal="justify" vertical="center" wrapText="1"/>
    </xf>
    <xf numFmtId="0" fontId="38" fillId="31" borderId="43" xfId="5" applyFont="1" applyFill="1" applyBorder="1" applyAlignment="1">
      <alignment horizontal="justify" vertical="center" wrapText="1"/>
    </xf>
    <xf numFmtId="0" fontId="38" fillId="31" borderId="41" xfId="5" applyFont="1" applyFill="1" applyBorder="1" applyAlignment="1">
      <alignment horizontal="justify" vertical="center" wrapText="1"/>
    </xf>
    <xf numFmtId="9" fontId="38" fillId="31" borderId="41" xfId="3" applyFont="1" applyFill="1" applyBorder="1" applyAlignment="1">
      <alignment horizontal="center" vertical="center" wrapText="1"/>
    </xf>
    <xf numFmtId="3" fontId="36" fillId="31" borderId="51" xfId="5" applyNumberFormat="1" applyFont="1" applyFill="1" applyBorder="1" applyAlignment="1">
      <alignment vertical="center" wrapText="1"/>
    </xf>
    <xf numFmtId="9" fontId="36" fillId="31" borderId="41" xfId="3" applyFont="1" applyFill="1" applyBorder="1" applyAlignment="1">
      <alignment horizontal="center" vertical="center" wrapText="1"/>
    </xf>
    <xf numFmtId="0" fontId="38" fillId="34" borderId="42" xfId="0" applyFont="1" applyFill="1" applyBorder="1" applyAlignment="1">
      <alignment horizontal="justify" vertical="center" wrapText="1"/>
    </xf>
    <xf numFmtId="3" fontId="37" fillId="35" borderId="40" xfId="5" applyNumberFormat="1" applyFont="1" applyFill="1" applyBorder="1" applyAlignment="1">
      <alignment horizontal="center" vertical="center" wrapText="1"/>
    </xf>
    <xf numFmtId="9" fontId="38" fillId="35" borderId="40" xfId="3" applyFont="1" applyFill="1" applyBorder="1" applyAlignment="1">
      <alignment horizontal="center" vertical="center" wrapText="1"/>
    </xf>
    <xf numFmtId="3" fontId="36" fillId="35" borderId="42" xfId="5" applyNumberFormat="1" applyFont="1" applyFill="1" applyBorder="1" applyAlignment="1">
      <alignment vertical="center" wrapText="1"/>
    </xf>
    <xf numFmtId="9" fontId="36" fillId="35" borderId="40" xfId="3" applyFont="1" applyFill="1" applyBorder="1" applyAlignment="1">
      <alignment horizontal="center" vertical="center" wrapText="1"/>
    </xf>
    <xf numFmtId="3" fontId="36" fillId="35" borderId="32" xfId="5" applyNumberFormat="1" applyFont="1" applyFill="1" applyBorder="1" applyAlignment="1">
      <alignment vertical="center" wrapText="1"/>
    </xf>
    <xf numFmtId="3" fontId="36" fillId="35" borderId="31" xfId="5" applyNumberFormat="1" applyFont="1" applyFill="1" applyBorder="1" applyAlignment="1">
      <alignment vertical="center" wrapText="1"/>
    </xf>
    <xf numFmtId="3" fontId="36" fillId="35" borderId="33" xfId="5" applyNumberFormat="1" applyFont="1" applyFill="1" applyBorder="1" applyAlignment="1">
      <alignment vertical="center" wrapText="1"/>
    </xf>
    <xf numFmtId="9" fontId="33" fillId="13" borderId="12" xfId="3" applyFont="1" applyFill="1" applyBorder="1" applyAlignment="1">
      <alignment horizontal="center" vertical="center" wrapText="1"/>
    </xf>
    <xf numFmtId="3" fontId="36" fillId="33" borderId="43" xfId="5" applyNumberFormat="1" applyFont="1" applyFill="1" applyBorder="1" applyAlignment="1">
      <alignment vertical="center" wrapText="1"/>
    </xf>
    <xf numFmtId="3" fontId="36" fillId="33" borderId="44" xfId="5" applyNumberFormat="1" applyFont="1" applyFill="1" applyBorder="1" applyAlignment="1">
      <alignment vertical="center" wrapText="1"/>
    </xf>
    <xf numFmtId="9" fontId="33" fillId="35" borderId="42" xfId="3" applyFont="1" applyFill="1" applyBorder="1" applyAlignment="1">
      <alignment horizontal="center" vertical="center" wrapText="1"/>
    </xf>
    <xf numFmtId="9" fontId="33" fillId="35" borderId="40" xfId="3" applyFont="1" applyFill="1" applyBorder="1" applyAlignment="1">
      <alignment horizontal="center" vertical="center" wrapText="1"/>
    </xf>
    <xf numFmtId="9" fontId="38" fillId="31" borderId="1" xfId="3" applyFont="1" applyFill="1" applyBorder="1" applyAlignment="1">
      <alignment horizontal="center" vertical="center" wrapText="1"/>
    </xf>
    <xf numFmtId="9" fontId="38" fillId="31" borderId="5" xfId="3" applyFont="1" applyFill="1" applyBorder="1" applyAlignment="1">
      <alignment horizontal="center" vertical="center" wrapText="1"/>
    </xf>
    <xf numFmtId="9" fontId="38" fillId="33" borderId="43" xfId="3" applyFont="1" applyFill="1" applyBorder="1" applyAlignment="1">
      <alignment horizontal="center" vertical="center" wrapText="1"/>
    </xf>
    <xf numFmtId="9" fontId="38" fillId="33" borderId="44" xfId="3" applyFont="1" applyFill="1" applyBorder="1" applyAlignment="1">
      <alignment horizontal="center" vertical="center" wrapText="1"/>
    </xf>
    <xf numFmtId="0" fontId="37" fillId="0" borderId="47" xfId="5" applyFont="1" applyBorder="1" applyAlignment="1">
      <alignment horizontal="left" vertical="center" wrapText="1" indent="2"/>
    </xf>
    <xf numFmtId="0" fontId="37" fillId="0" borderId="51" xfId="5" applyFont="1" applyBorder="1" applyAlignment="1">
      <alignment horizontal="left" vertical="center" wrapText="1" indent="2"/>
    </xf>
    <xf numFmtId="9" fontId="36" fillId="35" borderId="42" xfId="3" applyFont="1" applyFill="1" applyBorder="1" applyAlignment="1">
      <alignment horizontal="center" vertical="center" wrapText="1"/>
    </xf>
    <xf numFmtId="9" fontId="36" fillId="31" borderId="51" xfId="3" applyFont="1" applyFill="1" applyBorder="1" applyAlignment="1">
      <alignment horizontal="center" vertical="center" wrapText="1"/>
    </xf>
    <xf numFmtId="9" fontId="36" fillId="31" borderId="42" xfId="3" applyFont="1" applyFill="1" applyBorder="1" applyAlignment="1">
      <alignment horizontal="center" vertical="center" wrapText="1"/>
    </xf>
    <xf numFmtId="170" fontId="37" fillId="0" borderId="44" xfId="3" applyNumberFormat="1" applyFont="1" applyFill="1" applyBorder="1" applyAlignment="1">
      <alignment horizontal="center" vertical="center" wrapText="1"/>
    </xf>
    <xf numFmtId="0" fontId="21" fillId="0" borderId="0" xfId="17"/>
    <xf numFmtId="43" fontId="21" fillId="0" borderId="0" xfId="17" applyNumberFormat="1" applyAlignment="1">
      <alignment vertical="center"/>
    </xf>
    <xf numFmtId="0" fontId="21" fillId="0" borderId="0" xfId="17" applyAlignment="1">
      <alignment vertical="center"/>
    </xf>
    <xf numFmtId="0" fontId="22" fillId="0" borderId="0" xfId="17" applyFont="1"/>
    <xf numFmtId="0" fontId="22" fillId="0" borderId="0" xfId="17" applyFont="1" applyAlignment="1">
      <alignment horizontal="center" wrapText="1"/>
    </xf>
    <xf numFmtId="49" fontId="43" fillId="36" borderId="58" xfId="5" applyNumberFormat="1" applyFont="1" applyFill="1" applyBorder="1" applyAlignment="1">
      <alignment horizontal="center" vertical="center"/>
    </xf>
    <xf numFmtId="0" fontId="43" fillId="36" borderId="58" xfId="5" applyFont="1" applyFill="1" applyBorder="1" applyAlignment="1">
      <alignment horizontal="left" vertical="center"/>
    </xf>
    <xf numFmtId="0" fontId="43" fillId="36" borderId="58" xfId="5" applyFont="1" applyFill="1" applyBorder="1" applyAlignment="1">
      <alignment horizontal="left" vertical="center" wrapText="1"/>
    </xf>
    <xf numFmtId="164" fontId="43" fillId="36" borderId="58" xfId="11" applyNumberFormat="1" applyFont="1" applyFill="1" applyBorder="1" applyAlignment="1">
      <alignment horizontal="right" vertical="center"/>
    </xf>
    <xf numFmtId="9" fontId="43" fillId="36" borderId="58" xfId="18" applyFont="1" applyFill="1" applyBorder="1" applyAlignment="1">
      <alignment horizontal="right" vertical="center"/>
    </xf>
    <xf numFmtId="49" fontId="43" fillId="36" borderId="58" xfId="5" applyNumberFormat="1" applyFont="1" applyFill="1" applyBorder="1" applyAlignment="1">
      <alignment horizontal="left" vertical="center"/>
    </xf>
    <xf numFmtId="9" fontId="22" fillId="36" borderId="0" xfId="3" applyFont="1" applyFill="1"/>
    <xf numFmtId="0" fontId="22" fillId="36" borderId="0" xfId="17" applyFont="1" applyFill="1"/>
    <xf numFmtId="0" fontId="43" fillId="19" borderId="58" xfId="5" applyFont="1" applyFill="1" applyBorder="1" applyAlignment="1">
      <alignment horizontal="left" vertical="center" wrapText="1"/>
    </xf>
    <xf numFmtId="164" fontId="43" fillId="19" borderId="58" xfId="11" applyNumberFormat="1" applyFont="1" applyFill="1" applyBorder="1" applyAlignment="1">
      <alignment horizontal="right" vertical="center"/>
    </xf>
    <xf numFmtId="9" fontId="43" fillId="19" borderId="58" xfId="18" applyFont="1" applyFill="1" applyBorder="1" applyAlignment="1">
      <alignment horizontal="right" vertical="center"/>
    </xf>
    <xf numFmtId="49" fontId="43" fillId="19" borderId="58" xfId="5" applyNumberFormat="1" applyFont="1" applyFill="1" applyBorder="1" applyAlignment="1">
      <alignment horizontal="left" vertical="center"/>
    </xf>
    <xf numFmtId="9" fontId="22" fillId="19" borderId="0" xfId="3" applyFont="1" applyFill="1"/>
    <xf numFmtId="0" fontId="22" fillId="19" borderId="0" xfId="17" applyFont="1" applyFill="1"/>
    <xf numFmtId="0" fontId="43" fillId="37" borderId="58" xfId="5" applyFont="1" applyFill="1" applyBorder="1" applyAlignment="1">
      <alignment horizontal="center" vertical="center"/>
    </xf>
    <xf numFmtId="49" fontId="43" fillId="37" borderId="58" xfId="5" applyNumberFormat="1" applyFont="1" applyFill="1" applyBorder="1" applyAlignment="1">
      <alignment horizontal="center" vertical="center"/>
    </xf>
    <xf numFmtId="0" fontId="43" fillId="37" borderId="58" xfId="5" applyFont="1" applyFill="1" applyBorder="1" applyAlignment="1">
      <alignment horizontal="left" vertical="center" wrapText="1"/>
    </xf>
    <xf numFmtId="164" fontId="43" fillId="37" borderId="58" xfId="11" applyNumberFormat="1" applyFont="1" applyFill="1" applyBorder="1" applyAlignment="1">
      <alignment horizontal="right" vertical="center"/>
    </xf>
    <xf numFmtId="9" fontId="43" fillId="37" borderId="58" xfId="18" applyFont="1" applyFill="1" applyBorder="1" applyAlignment="1">
      <alignment horizontal="right" vertical="center"/>
    </xf>
    <xf numFmtId="49" fontId="43" fillId="37" borderId="58" xfId="5" applyNumberFormat="1" applyFont="1" applyFill="1" applyBorder="1" applyAlignment="1">
      <alignment horizontal="left" vertical="center"/>
    </xf>
    <xf numFmtId="9" fontId="22" fillId="37" borderId="0" xfId="3" applyFont="1" applyFill="1"/>
    <xf numFmtId="0" fontId="22" fillId="37" borderId="0" xfId="17" applyFont="1" applyFill="1"/>
    <xf numFmtId="0" fontId="43" fillId="20" borderId="58" xfId="5" applyFont="1" applyFill="1" applyBorder="1" applyAlignment="1">
      <alignment horizontal="center" vertical="center"/>
    </xf>
    <xf numFmtId="0" fontId="43" fillId="20" borderId="58" xfId="5" applyFont="1" applyFill="1" applyBorder="1" applyAlignment="1">
      <alignment horizontal="left" vertical="center" wrapText="1"/>
    </xf>
    <xf numFmtId="164" fontId="43" fillId="20" borderId="58" xfId="11" applyNumberFormat="1" applyFont="1" applyFill="1" applyBorder="1" applyAlignment="1">
      <alignment horizontal="right" vertical="center"/>
    </xf>
    <xf numFmtId="9" fontId="43" fillId="20" borderId="58" xfId="18" applyFont="1" applyFill="1" applyBorder="1" applyAlignment="1">
      <alignment horizontal="right" vertical="center"/>
    </xf>
    <xf numFmtId="49" fontId="43" fillId="20" borderId="58" xfId="5" applyNumberFormat="1" applyFont="1" applyFill="1" applyBorder="1" applyAlignment="1">
      <alignment horizontal="left" vertical="center"/>
    </xf>
    <xf numFmtId="9" fontId="22" fillId="20" borderId="0" xfId="3" applyFont="1" applyFill="1"/>
    <xf numFmtId="0" fontId="22" fillId="20" borderId="0" xfId="17" applyFont="1" applyFill="1"/>
    <xf numFmtId="0" fontId="43" fillId="38" borderId="58" xfId="5" applyFont="1" applyFill="1" applyBorder="1" applyAlignment="1">
      <alignment horizontal="center" vertical="center"/>
    </xf>
    <xf numFmtId="49" fontId="43" fillId="38" borderId="58" xfId="5" applyNumberFormat="1" applyFont="1" applyFill="1" applyBorder="1" applyAlignment="1">
      <alignment horizontal="center" vertical="center"/>
    </xf>
    <xf numFmtId="0" fontId="43" fillId="38" borderId="58" xfId="5" applyFont="1" applyFill="1" applyBorder="1" applyAlignment="1">
      <alignment horizontal="left" vertical="center" wrapText="1"/>
    </xf>
    <xf numFmtId="164" fontId="43" fillId="38" borderId="58" xfId="11" applyNumberFormat="1" applyFont="1" applyFill="1" applyBorder="1" applyAlignment="1">
      <alignment horizontal="right" vertical="center"/>
    </xf>
    <xf numFmtId="9" fontId="43" fillId="38" borderId="58" xfId="18" applyFont="1" applyFill="1" applyBorder="1" applyAlignment="1">
      <alignment horizontal="right" vertical="center"/>
    </xf>
    <xf numFmtId="49" fontId="43" fillId="38" borderId="58" xfId="5" applyNumberFormat="1" applyFont="1" applyFill="1" applyBorder="1" applyAlignment="1">
      <alignment horizontal="left" vertical="center"/>
    </xf>
    <xf numFmtId="9" fontId="22" fillId="38" borderId="0" xfId="3" applyFont="1" applyFill="1"/>
    <xf numFmtId="0" fontId="22" fillId="38" borderId="0" xfId="17" applyFont="1" applyFill="1"/>
    <xf numFmtId="0" fontId="43" fillId="21" borderId="58" xfId="5" applyFont="1" applyFill="1" applyBorder="1" applyAlignment="1">
      <alignment horizontal="center" vertical="center"/>
    </xf>
    <xf numFmtId="0" fontId="43" fillId="21" borderId="58" xfId="5" applyFont="1" applyFill="1" applyBorder="1" applyAlignment="1">
      <alignment horizontal="left" vertical="center" wrapText="1"/>
    </xf>
    <xf numFmtId="164" fontId="43" fillId="21" borderId="58" xfId="11" applyNumberFormat="1" applyFont="1" applyFill="1" applyBorder="1" applyAlignment="1">
      <alignment horizontal="right" vertical="center"/>
    </xf>
    <xf numFmtId="9" fontId="43" fillId="21" borderId="58" xfId="18" applyFont="1" applyFill="1" applyBorder="1" applyAlignment="1">
      <alignment horizontal="right" vertical="center"/>
    </xf>
    <xf numFmtId="49" fontId="43" fillId="21" borderId="58" xfId="5" applyNumberFormat="1" applyFont="1" applyFill="1" applyBorder="1" applyAlignment="1">
      <alignment horizontal="left" vertical="center"/>
    </xf>
    <xf numFmtId="9" fontId="22" fillId="21" borderId="0" xfId="3" applyFont="1" applyFill="1"/>
    <xf numFmtId="0" fontId="22" fillId="21" borderId="0" xfId="17" applyFont="1" applyFill="1"/>
    <xf numFmtId="0" fontId="43" fillId="0" borderId="58" xfId="5" applyFont="1" applyBorder="1" applyAlignment="1">
      <alignment horizontal="center" vertical="center"/>
    </xf>
    <xf numFmtId="0" fontId="43" fillId="0" borderId="58" xfId="5" applyFont="1" applyBorder="1" applyAlignment="1">
      <alignment horizontal="left" vertical="center" wrapText="1"/>
    </xf>
    <xf numFmtId="164" fontId="43" fillId="0" borderId="58" xfId="11" applyNumberFormat="1" applyFont="1" applyFill="1" applyBorder="1" applyAlignment="1">
      <alignment horizontal="right" vertical="center"/>
    </xf>
    <xf numFmtId="9" fontId="43" fillId="0" borderId="58" xfId="18" applyFont="1" applyFill="1" applyBorder="1" applyAlignment="1">
      <alignment horizontal="right" vertical="center"/>
    </xf>
    <xf numFmtId="49" fontId="43" fillId="0" borderId="58" xfId="5" applyNumberFormat="1" applyFont="1" applyBorder="1" applyAlignment="1">
      <alignment horizontal="left" vertical="center"/>
    </xf>
    <xf numFmtId="9" fontId="22" fillId="0" borderId="0" xfId="3" applyFont="1"/>
    <xf numFmtId="0" fontId="45" fillId="39" borderId="58" xfId="5" applyFont="1" applyFill="1" applyBorder="1" applyAlignment="1">
      <alignment horizontal="left" vertical="center" wrapText="1"/>
    </xf>
    <xf numFmtId="164" fontId="45" fillId="9" borderId="58" xfId="11" applyNumberFormat="1" applyFont="1" applyFill="1" applyBorder="1" applyAlignment="1">
      <alignment horizontal="right" vertical="center"/>
    </xf>
    <xf numFmtId="164" fontId="45" fillId="0" borderId="58" xfId="11" applyNumberFormat="1" applyFont="1" applyFill="1" applyBorder="1" applyAlignment="1">
      <alignment horizontal="right" vertical="center"/>
    </xf>
    <xf numFmtId="164" fontId="45" fillId="10" borderId="58" xfId="11" applyNumberFormat="1" applyFont="1" applyFill="1" applyBorder="1" applyAlignment="1">
      <alignment horizontal="right" vertical="center"/>
    </xf>
    <xf numFmtId="9" fontId="45" fillId="10" borderId="58" xfId="18" applyFont="1" applyFill="1" applyBorder="1" applyAlignment="1">
      <alignment horizontal="right" vertical="center"/>
    </xf>
    <xf numFmtId="49" fontId="45" fillId="0" borderId="58" xfId="5" applyNumberFormat="1" applyFont="1" applyBorder="1" applyAlignment="1">
      <alignment horizontal="left" vertical="center"/>
    </xf>
    <xf numFmtId="173" fontId="21" fillId="0" borderId="0" xfId="3" applyNumberFormat="1"/>
    <xf numFmtId="9" fontId="21" fillId="0" borderId="0" xfId="3"/>
    <xf numFmtId="0" fontId="45" fillId="0" borderId="58" xfId="5" applyFont="1" applyBorder="1" applyAlignment="1">
      <alignment horizontal="left" vertical="center" wrapText="1"/>
    </xf>
    <xf numFmtId="9" fontId="45" fillId="0" borderId="58" xfId="18" applyFont="1" applyFill="1" applyBorder="1" applyAlignment="1">
      <alignment horizontal="right" vertical="center"/>
    </xf>
    <xf numFmtId="164" fontId="43" fillId="9" borderId="58" xfId="11" applyNumberFormat="1" applyFont="1" applyFill="1" applyBorder="1" applyAlignment="1">
      <alignment horizontal="right" vertical="center"/>
    </xf>
    <xf numFmtId="1" fontId="43" fillId="21" borderId="58" xfId="5" applyNumberFormat="1" applyFont="1" applyFill="1" applyBorder="1" applyAlignment="1">
      <alignment horizontal="center" vertical="center"/>
    </xf>
    <xf numFmtId="1" fontId="45" fillId="0" borderId="58" xfId="5" applyNumberFormat="1" applyFont="1" applyBorder="1" applyAlignment="1">
      <alignment horizontal="center" vertical="center"/>
    </xf>
    <xf numFmtId="169" fontId="57" fillId="9" borderId="16" xfId="8" applyNumberFormat="1" applyFont="1" applyFill="1" applyBorder="1"/>
    <xf numFmtId="1" fontId="43" fillId="20" borderId="58" xfId="5" applyNumberFormat="1" applyFont="1" applyFill="1" applyBorder="1" applyAlignment="1">
      <alignment horizontal="center" vertical="center"/>
    </xf>
    <xf numFmtId="1" fontId="43" fillId="38" borderId="58" xfId="5" applyNumberFormat="1" applyFont="1" applyFill="1" applyBorder="1" applyAlignment="1">
      <alignment horizontal="center" vertical="center"/>
    </xf>
    <xf numFmtId="0" fontId="43" fillId="40" borderId="58" xfId="5" applyFont="1" applyFill="1" applyBorder="1" applyAlignment="1">
      <alignment horizontal="center" vertical="center"/>
    </xf>
    <xf numFmtId="49" fontId="43" fillId="40" borderId="58" xfId="5" applyNumberFormat="1" applyFont="1" applyFill="1" applyBorder="1" applyAlignment="1">
      <alignment horizontal="center" vertical="center"/>
    </xf>
    <xf numFmtId="1" fontId="43" fillId="40" borderId="58" xfId="5" applyNumberFormat="1" applyFont="1" applyFill="1" applyBorder="1" applyAlignment="1">
      <alignment horizontal="center" vertical="center"/>
    </xf>
    <xf numFmtId="0" fontId="43" fillId="40" borderId="58" xfId="5" applyFont="1" applyFill="1" applyBorder="1" applyAlignment="1">
      <alignment horizontal="left" vertical="center" wrapText="1"/>
    </xf>
    <xf numFmtId="164" fontId="43" fillId="40" borderId="58" xfId="11" applyNumberFormat="1" applyFont="1" applyFill="1" applyBorder="1" applyAlignment="1">
      <alignment horizontal="right" vertical="center"/>
    </xf>
    <xf numFmtId="9" fontId="43" fillId="40" borderId="58" xfId="18" applyFont="1" applyFill="1" applyBorder="1" applyAlignment="1">
      <alignment horizontal="right" vertical="center"/>
    </xf>
    <xf numFmtId="49" fontId="43" fillId="40" borderId="58" xfId="5" applyNumberFormat="1" applyFont="1" applyFill="1" applyBorder="1" applyAlignment="1">
      <alignment horizontal="left" vertical="center"/>
    </xf>
    <xf numFmtId="9" fontId="22" fillId="40" borderId="0" xfId="3" applyFont="1" applyFill="1"/>
    <xf numFmtId="0" fontId="22" fillId="40" borderId="0" xfId="17" applyFont="1" applyFill="1"/>
    <xf numFmtId="1" fontId="43" fillId="0" borderId="58" xfId="5" applyNumberFormat="1" applyFont="1" applyBorder="1" applyAlignment="1">
      <alignment horizontal="center" vertical="center"/>
    </xf>
    <xf numFmtId="49" fontId="45" fillId="10" borderId="58" xfId="5" applyNumberFormat="1" applyFont="1" applyFill="1" applyBorder="1" applyAlignment="1">
      <alignment horizontal="left" vertical="center"/>
    </xf>
    <xf numFmtId="9" fontId="21" fillId="9" borderId="0" xfId="3" applyFill="1"/>
    <xf numFmtId="164" fontId="45" fillId="0" borderId="58" xfId="11" applyNumberFormat="1" applyFont="1" applyBorder="1" applyAlignment="1">
      <alignment horizontal="right" vertical="center"/>
    </xf>
    <xf numFmtId="164" fontId="49" fillId="10" borderId="58" xfId="11" applyNumberFormat="1" applyFont="1" applyFill="1" applyBorder="1" applyAlignment="1">
      <alignment horizontal="right" vertical="center"/>
    </xf>
    <xf numFmtId="164" fontId="49" fillId="0" borderId="58" xfId="11" applyNumberFormat="1" applyFont="1" applyFill="1" applyBorder="1" applyAlignment="1">
      <alignment horizontal="right" vertical="center"/>
    </xf>
    <xf numFmtId="174" fontId="21" fillId="0" borderId="0" xfId="3" applyNumberFormat="1"/>
    <xf numFmtId="175" fontId="21" fillId="0" borderId="0" xfId="3" applyNumberFormat="1"/>
    <xf numFmtId="164" fontId="43" fillId="38" borderId="58" xfId="5" applyNumberFormat="1" applyFont="1" applyFill="1" applyBorder="1" applyAlignment="1">
      <alignment horizontal="center" vertical="center"/>
    </xf>
    <xf numFmtId="9" fontId="43" fillId="38" borderId="58" xfId="18" applyFont="1" applyFill="1" applyBorder="1" applyAlignment="1">
      <alignment horizontal="center" vertical="center"/>
    </xf>
    <xf numFmtId="9" fontId="43" fillId="38" borderId="58" xfId="3" applyFont="1" applyFill="1" applyBorder="1" applyAlignment="1">
      <alignment horizontal="center" vertical="center"/>
    </xf>
    <xf numFmtId="0" fontId="45" fillId="9" borderId="58" xfId="5" applyFont="1" applyFill="1" applyBorder="1" applyAlignment="1">
      <alignment horizontal="center" vertical="center"/>
    </xf>
    <xf numFmtId="49" fontId="45" fillId="9" borderId="58" xfId="5" applyNumberFormat="1" applyFont="1" applyFill="1" applyBorder="1" applyAlignment="1">
      <alignment horizontal="center" vertical="center"/>
    </xf>
    <xf numFmtId="49" fontId="43" fillId="9" borderId="58" xfId="5" applyNumberFormat="1" applyFont="1" applyFill="1" applyBorder="1" applyAlignment="1">
      <alignment horizontal="center" vertical="center"/>
    </xf>
    <xf numFmtId="164" fontId="43" fillId="10" borderId="58" xfId="11" applyNumberFormat="1" applyFont="1" applyFill="1" applyBorder="1" applyAlignment="1">
      <alignment horizontal="right" vertical="center"/>
    </xf>
    <xf numFmtId="9" fontId="43" fillId="10" borderId="58" xfId="18" applyFont="1" applyFill="1" applyBorder="1" applyAlignment="1">
      <alignment horizontal="right" vertical="center"/>
    </xf>
    <xf numFmtId="49" fontId="43" fillId="10" borderId="58" xfId="5" applyNumberFormat="1" applyFont="1" applyFill="1" applyBorder="1" applyAlignment="1">
      <alignment horizontal="left" vertical="center"/>
    </xf>
    <xf numFmtId="49" fontId="43" fillId="9" borderId="58" xfId="5" applyNumberFormat="1" applyFont="1" applyFill="1" applyBorder="1" applyAlignment="1">
      <alignment horizontal="left" vertical="center"/>
    </xf>
    <xf numFmtId="0" fontId="49" fillId="39" borderId="58" xfId="5" applyFont="1" applyFill="1" applyBorder="1" applyAlignment="1">
      <alignment horizontal="left" vertical="center" wrapText="1"/>
    </xf>
    <xf numFmtId="164" fontId="44" fillId="10" borderId="58" xfId="11" applyNumberFormat="1" applyFont="1" applyFill="1" applyBorder="1" applyAlignment="1">
      <alignment horizontal="right" vertical="center"/>
    </xf>
    <xf numFmtId="9" fontId="44" fillId="10" borderId="58" xfId="18" applyFont="1" applyFill="1" applyBorder="1" applyAlignment="1">
      <alignment horizontal="right" vertical="center"/>
    </xf>
    <xf numFmtId="49" fontId="44" fillId="10" borderId="58" xfId="5" applyNumberFormat="1" applyFont="1" applyFill="1" applyBorder="1" applyAlignment="1">
      <alignment horizontal="left" vertical="center"/>
    </xf>
    <xf numFmtId="0" fontId="43" fillId="39" borderId="58" xfId="5" applyFont="1" applyFill="1" applyBorder="1" applyAlignment="1">
      <alignment horizontal="left" vertical="center" wrapText="1"/>
    </xf>
    <xf numFmtId="0" fontId="43" fillId="38" borderId="58" xfId="5" applyFont="1" applyFill="1" applyBorder="1" applyAlignment="1">
      <alignment horizontal="left" vertical="center"/>
    </xf>
    <xf numFmtId="43" fontId="45" fillId="10" borderId="58" xfId="4" applyFont="1" applyFill="1" applyBorder="1" applyAlignment="1">
      <alignment horizontal="right" vertical="center"/>
    </xf>
    <xf numFmtId="0" fontId="45" fillId="9" borderId="58" xfId="5" applyFont="1" applyFill="1" applyBorder="1" applyAlignment="1">
      <alignment horizontal="left" vertical="center" wrapText="1"/>
    </xf>
    <xf numFmtId="0" fontId="43" fillId="19" borderId="58" xfId="5" applyFont="1" applyFill="1" applyBorder="1" applyAlignment="1">
      <alignment horizontal="center" vertical="center"/>
    </xf>
    <xf numFmtId="0" fontId="45" fillId="10" borderId="58" xfId="5" applyFont="1" applyFill="1" applyBorder="1" applyAlignment="1">
      <alignment horizontal="left" vertical="center" wrapText="1"/>
    </xf>
    <xf numFmtId="0" fontId="43" fillId="10" borderId="58" xfId="5" applyFont="1" applyFill="1" applyBorder="1" applyAlignment="1">
      <alignment horizontal="left" vertical="center" wrapText="1"/>
    </xf>
    <xf numFmtId="0" fontId="45" fillId="0" borderId="0" xfId="5" applyFont="1" applyAlignment="1">
      <alignment horizontal="center" vertical="center"/>
    </xf>
    <xf numFmtId="49" fontId="45" fillId="0" borderId="0" xfId="5" applyNumberFormat="1" applyFont="1" applyAlignment="1">
      <alignment horizontal="center" vertical="center"/>
    </xf>
    <xf numFmtId="0" fontId="45" fillId="0" borderId="0" xfId="5" applyFont="1" applyAlignment="1">
      <alignment horizontal="left" vertical="center" wrapText="1"/>
    </xf>
    <xf numFmtId="167" fontId="45" fillId="0" borderId="0" xfId="11" applyNumberFormat="1" applyFont="1" applyFill="1" applyBorder="1" applyAlignment="1">
      <alignment horizontal="right" vertical="center"/>
    </xf>
    <xf numFmtId="10" fontId="45" fillId="0" borderId="0" xfId="18" applyNumberFormat="1" applyFont="1" applyFill="1" applyBorder="1" applyAlignment="1">
      <alignment horizontal="right" vertical="center"/>
    </xf>
    <xf numFmtId="49" fontId="45" fillId="0" borderId="0" xfId="5" applyNumberFormat="1" applyFont="1" applyAlignment="1">
      <alignment horizontal="left" vertical="center"/>
    </xf>
    <xf numFmtId="167" fontId="67" fillId="0" borderId="0" xfId="11" applyNumberFormat="1" applyFont="1" applyFill="1" applyBorder="1" applyAlignment="1">
      <alignment horizontal="right" vertical="center"/>
    </xf>
    <xf numFmtId="43" fontId="45" fillId="0" borderId="0" xfId="11" applyFont="1" applyFill="1" applyBorder="1" applyAlignment="1">
      <alignment horizontal="right" vertical="center"/>
    </xf>
    <xf numFmtId="0" fontId="45" fillId="0" borderId="55" xfId="5" applyFont="1" applyBorder="1" applyAlignment="1">
      <alignment horizontal="center" vertical="center"/>
    </xf>
    <xf numFmtId="49" fontId="45" fillId="0" borderId="55" xfId="5" applyNumberFormat="1" applyFont="1" applyBorder="1" applyAlignment="1">
      <alignment horizontal="center" vertical="center"/>
    </xf>
    <xf numFmtId="0" fontId="45" fillId="0" borderId="55" xfId="5" applyFont="1" applyBorder="1" applyAlignment="1">
      <alignment horizontal="left" vertical="center" wrapText="1"/>
    </xf>
    <xf numFmtId="43" fontId="45" fillId="0" borderId="55" xfId="11" applyFont="1" applyFill="1" applyBorder="1" applyAlignment="1">
      <alignment horizontal="right" vertical="center"/>
    </xf>
    <xf numFmtId="10" fontId="45" fillId="0" borderId="55" xfId="18" applyNumberFormat="1" applyFont="1" applyFill="1" applyBorder="1" applyAlignment="1">
      <alignment horizontal="right" vertical="center"/>
    </xf>
    <xf numFmtId="49" fontId="45" fillId="0" borderId="55" xfId="5" applyNumberFormat="1" applyFont="1" applyBorder="1" applyAlignment="1">
      <alignment horizontal="left" vertical="center"/>
    </xf>
    <xf numFmtId="43" fontId="45" fillId="0" borderId="58" xfId="11" applyFont="1" applyFill="1" applyBorder="1" applyAlignment="1">
      <alignment horizontal="right" vertical="center"/>
    </xf>
    <xf numFmtId="10" fontId="45" fillId="0" borderId="58" xfId="18" applyNumberFormat="1" applyFont="1" applyFill="1" applyBorder="1" applyAlignment="1">
      <alignment horizontal="right" vertical="center"/>
    </xf>
    <xf numFmtId="49" fontId="45" fillId="0" borderId="58" xfId="5" applyNumberFormat="1" applyFont="1" applyBorder="1" applyAlignment="1">
      <alignment horizontal="left" vertical="center" wrapText="1"/>
    </xf>
    <xf numFmtId="43" fontId="45" fillId="0" borderId="58" xfId="11" applyFont="1" applyFill="1" applyBorder="1" applyAlignment="1">
      <alignment horizontal="left" vertical="center"/>
    </xf>
    <xf numFmtId="10" fontId="45" fillId="0" borderId="58" xfId="18" applyNumberFormat="1" applyFont="1" applyFill="1" applyBorder="1" applyAlignment="1">
      <alignment horizontal="left" vertical="center"/>
    </xf>
    <xf numFmtId="166" fontId="45" fillId="0" borderId="58" xfId="11" applyNumberFormat="1" applyFont="1" applyFill="1" applyBorder="1" applyAlignment="1">
      <alignment horizontal="left" vertical="center"/>
    </xf>
    <xf numFmtId="0" fontId="45" fillId="19" borderId="58" xfId="5" applyFont="1" applyFill="1" applyBorder="1" applyAlignment="1">
      <alignment horizontal="left" vertical="center"/>
    </xf>
    <xf numFmtId="0" fontId="45" fillId="19" borderId="58" xfId="5" applyFont="1" applyFill="1" applyBorder="1" applyAlignment="1">
      <alignment horizontal="left" vertical="center" wrapText="1"/>
    </xf>
    <xf numFmtId="166" fontId="45" fillId="19" borderId="58" xfId="11" applyNumberFormat="1" applyFont="1" applyFill="1" applyBorder="1" applyAlignment="1">
      <alignment horizontal="left" vertical="center"/>
    </xf>
    <xf numFmtId="166" fontId="45" fillId="19" borderId="58" xfId="11" applyNumberFormat="1" applyFont="1" applyFill="1" applyBorder="1" applyAlignment="1">
      <alignment horizontal="left" vertical="center" wrapText="1"/>
    </xf>
    <xf numFmtId="0" fontId="21" fillId="0" borderId="0" xfId="17" applyAlignment="1">
      <alignment wrapText="1"/>
    </xf>
    <xf numFmtId="164" fontId="21" fillId="0" borderId="0" xfId="17" applyNumberFormat="1"/>
    <xf numFmtId="0" fontId="44" fillId="0" borderId="62" xfId="17" applyFont="1" applyBorder="1" applyAlignment="1">
      <alignment horizontal="center" vertical="center"/>
    </xf>
    <xf numFmtId="164" fontId="46" fillId="22" borderId="63" xfId="17" applyNumberFormat="1" applyFont="1" applyFill="1" applyBorder="1" applyAlignment="1">
      <alignment horizontal="center" vertical="center" wrapText="1"/>
    </xf>
    <xf numFmtId="49" fontId="46" fillId="23" borderId="64" xfId="17" applyNumberFormat="1" applyFont="1" applyFill="1" applyBorder="1" applyAlignment="1">
      <alignment horizontal="center" vertical="center"/>
    </xf>
    <xf numFmtId="0" fontId="33" fillId="23" borderId="64" xfId="17" applyFont="1" applyFill="1" applyBorder="1"/>
    <xf numFmtId="166" fontId="33" fillId="23" borderId="64" xfId="4" applyNumberFormat="1" applyFont="1" applyFill="1" applyBorder="1" applyAlignment="1">
      <alignment horizontal="center"/>
    </xf>
    <xf numFmtId="176" fontId="33" fillId="23" borderId="64" xfId="11" applyNumberFormat="1" applyFont="1" applyFill="1" applyBorder="1" applyAlignment="1">
      <alignment horizontal="center"/>
    </xf>
    <xf numFmtId="0" fontId="49" fillId="0" borderId="62" xfId="17" applyFont="1" applyBorder="1" applyAlignment="1">
      <alignment horizontal="left" vertical="center"/>
    </xf>
    <xf numFmtId="177" fontId="21" fillId="0" borderId="0" xfId="17" applyNumberFormat="1"/>
    <xf numFmtId="49" fontId="46" fillId="24" borderId="64" xfId="17" applyNumberFormat="1" applyFont="1" applyFill="1" applyBorder="1" applyAlignment="1">
      <alignment horizontal="center" vertical="center"/>
    </xf>
    <xf numFmtId="0" fontId="33" fillId="41" borderId="64" xfId="17" applyFont="1" applyFill="1" applyBorder="1"/>
    <xf numFmtId="43" fontId="33" fillId="42" borderId="64" xfId="4" applyFont="1" applyFill="1" applyBorder="1" applyAlignment="1">
      <alignment horizontal="center"/>
    </xf>
    <xf numFmtId="43" fontId="33" fillId="43" borderId="64" xfId="4" applyFont="1" applyFill="1" applyBorder="1" applyAlignment="1">
      <alignment horizontal="center"/>
    </xf>
    <xf numFmtId="172" fontId="33" fillId="24" borderId="64" xfId="11" applyNumberFormat="1" applyFont="1" applyFill="1" applyBorder="1" applyAlignment="1">
      <alignment horizontal="center"/>
    </xf>
    <xf numFmtId="176" fontId="33" fillId="24" borderId="64" xfId="11" applyNumberFormat="1" applyFont="1" applyFill="1" applyBorder="1" applyAlignment="1">
      <alignment horizontal="center"/>
    </xf>
    <xf numFmtId="171" fontId="49" fillId="0" borderId="62" xfId="17" applyNumberFormat="1" applyFont="1" applyBorder="1" applyAlignment="1">
      <alignment horizontal="left" vertical="center"/>
    </xf>
    <xf numFmtId="0" fontId="46" fillId="24" borderId="64" xfId="17" applyFont="1" applyFill="1" applyBorder="1" applyAlignment="1">
      <alignment horizontal="center" vertical="center"/>
    </xf>
    <xf numFmtId="0" fontId="33" fillId="24" borderId="64" xfId="17" applyFont="1" applyFill="1" applyBorder="1"/>
    <xf numFmtId="43" fontId="33" fillId="24" borderId="64" xfId="4" applyFont="1" applyFill="1" applyBorder="1" applyAlignment="1">
      <alignment horizontal="center"/>
    </xf>
    <xf numFmtId="0" fontId="50" fillId="0" borderId="64" xfId="17" applyFont="1" applyBorder="1" applyAlignment="1">
      <alignment horizontal="center" vertical="center"/>
    </xf>
    <xf numFmtId="49" fontId="50" fillId="0" borderId="64" xfId="17" applyNumberFormat="1" applyFont="1" applyBorder="1" applyAlignment="1">
      <alignment horizontal="center" vertical="center"/>
    </xf>
    <xf numFmtId="49" fontId="46" fillId="0" borderId="64" xfId="17" applyNumberFormat="1" applyFont="1" applyBorder="1" applyAlignment="1">
      <alignment horizontal="center" vertical="center"/>
    </xf>
    <xf numFmtId="0" fontId="30" fillId="10" borderId="64" xfId="17" applyFont="1" applyFill="1" applyBorder="1"/>
    <xf numFmtId="43" fontId="30" fillId="43" borderId="64" xfId="4" applyFont="1" applyFill="1" applyBorder="1" applyAlignment="1">
      <alignment horizontal="center"/>
    </xf>
    <xf numFmtId="172" fontId="30" fillId="0" borderId="64" xfId="11" applyNumberFormat="1" applyFont="1" applyBorder="1" applyAlignment="1">
      <alignment horizontal="center"/>
    </xf>
    <xf numFmtId="176" fontId="30" fillId="0" borderId="64" xfId="11" applyNumberFormat="1" applyFont="1" applyBorder="1" applyAlignment="1">
      <alignment horizontal="center"/>
    </xf>
    <xf numFmtId="164" fontId="30" fillId="43" borderId="64" xfId="11" applyNumberFormat="1" applyFont="1" applyFill="1" applyBorder="1" applyAlignment="1">
      <alignment horizontal="center"/>
    </xf>
    <xf numFmtId="164" fontId="33" fillId="24" borderId="64" xfId="11" applyNumberFormat="1" applyFont="1" applyFill="1" applyBorder="1" applyAlignment="1">
      <alignment horizontal="center"/>
    </xf>
    <xf numFmtId="0" fontId="51" fillId="0" borderId="0" xfId="17" applyFont="1"/>
    <xf numFmtId="0" fontId="46" fillId="25" borderId="64" xfId="17" applyFont="1" applyFill="1" applyBorder="1" applyAlignment="1">
      <alignment horizontal="center" vertical="center"/>
    </xf>
    <xf numFmtId="49" fontId="46" fillId="25" borderId="64" xfId="17" applyNumberFormat="1" applyFont="1" applyFill="1" applyBorder="1" applyAlignment="1">
      <alignment horizontal="center" vertical="center"/>
    </xf>
    <xf numFmtId="0" fontId="33" fillId="25" borderId="64" xfId="17" applyFont="1" applyFill="1" applyBorder="1"/>
    <xf numFmtId="164" fontId="33" fillId="25" borderId="64" xfId="11" applyNumberFormat="1" applyFont="1" applyFill="1" applyBorder="1" applyAlignment="1">
      <alignment horizontal="center"/>
    </xf>
    <xf numFmtId="172" fontId="33" fillId="25" borderId="64" xfId="11" applyNumberFormat="1" applyFont="1" applyFill="1" applyBorder="1" applyAlignment="1">
      <alignment horizontal="center"/>
    </xf>
    <xf numFmtId="176" fontId="33" fillId="25" borderId="64" xfId="11" applyNumberFormat="1" applyFont="1" applyFill="1" applyBorder="1" applyAlignment="1">
      <alignment horizontal="center"/>
    </xf>
    <xf numFmtId="0" fontId="30" fillId="0" borderId="64" xfId="17" applyFont="1" applyBorder="1"/>
    <xf numFmtId="43" fontId="30" fillId="0" borderId="64" xfId="4" applyFont="1" applyFill="1" applyBorder="1" applyAlignment="1">
      <alignment horizontal="center"/>
    </xf>
    <xf numFmtId="172" fontId="30" fillId="0" borderId="64" xfId="11" applyNumberFormat="1" applyFont="1" applyFill="1" applyBorder="1" applyAlignment="1">
      <alignment horizontal="center"/>
    </xf>
    <xf numFmtId="176" fontId="30" fillId="0" borderId="64" xfId="11" applyNumberFormat="1" applyFont="1" applyFill="1" applyBorder="1" applyAlignment="1">
      <alignment horizontal="center"/>
    </xf>
    <xf numFmtId="0" fontId="48" fillId="0" borderId="0" xfId="17" applyFont="1"/>
    <xf numFmtId="43" fontId="30" fillId="0" borderId="64" xfId="4" applyFont="1" applyBorder="1" applyAlignment="1">
      <alignment horizontal="center"/>
    </xf>
    <xf numFmtId="164" fontId="30" fillId="0" borderId="64" xfId="11" applyNumberFormat="1" applyFont="1" applyBorder="1" applyAlignment="1">
      <alignment horizontal="center"/>
    </xf>
    <xf numFmtId="172" fontId="30" fillId="43" borderId="64" xfId="11" applyNumberFormat="1" applyFont="1" applyFill="1" applyBorder="1" applyAlignment="1">
      <alignment horizontal="center"/>
    </xf>
    <xf numFmtId="0" fontId="30" fillId="10" borderId="64" xfId="0" applyFont="1" applyFill="1" applyBorder="1"/>
    <xf numFmtId="0" fontId="46" fillId="0" borderId="64" xfId="17" applyFont="1" applyBorder="1" applyAlignment="1">
      <alignment horizontal="center" vertical="center"/>
    </xf>
    <xf numFmtId="0" fontId="33" fillId="0" borderId="64" xfId="17" applyFont="1" applyBorder="1"/>
    <xf numFmtId="164" fontId="33" fillId="0" borderId="64" xfId="11" applyNumberFormat="1" applyFont="1" applyFill="1" applyBorder="1" applyAlignment="1">
      <alignment horizontal="center"/>
    </xf>
    <xf numFmtId="172" fontId="33" fillId="0" borderId="64" xfId="11" applyNumberFormat="1" applyFont="1" applyFill="1" applyBorder="1" applyAlignment="1">
      <alignment horizontal="center"/>
    </xf>
    <xf numFmtId="176" fontId="33" fillId="0" borderId="64" xfId="11" applyNumberFormat="1" applyFont="1" applyFill="1" applyBorder="1" applyAlignment="1">
      <alignment horizontal="center"/>
    </xf>
    <xf numFmtId="164" fontId="30" fillId="0" borderId="64" xfId="11" applyNumberFormat="1" applyFont="1" applyFill="1" applyBorder="1" applyAlignment="1">
      <alignment horizontal="center"/>
    </xf>
    <xf numFmtId="0" fontId="50" fillId="25" borderId="64" xfId="17" applyFont="1" applyFill="1" applyBorder="1" applyAlignment="1">
      <alignment horizontal="center" vertical="center"/>
    </xf>
    <xf numFmtId="49" fontId="50" fillId="25" borderId="64" xfId="17" applyNumberFormat="1" applyFont="1" applyFill="1" applyBorder="1" applyAlignment="1">
      <alignment horizontal="center" vertical="center"/>
    </xf>
    <xf numFmtId="164" fontId="30" fillId="25" borderId="64" xfId="11" applyNumberFormat="1" applyFont="1" applyFill="1" applyBorder="1" applyAlignment="1">
      <alignment horizontal="center"/>
    </xf>
    <xf numFmtId="172" fontId="30" fillId="25" borderId="64" xfId="11" applyNumberFormat="1" applyFont="1" applyFill="1" applyBorder="1" applyAlignment="1">
      <alignment horizontal="center"/>
    </xf>
    <xf numFmtId="176" fontId="30" fillId="25" borderId="64" xfId="11" applyNumberFormat="1" applyFont="1" applyFill="1" applyBorder="1" applyAlignment="1">
      <alignment horizontal="center"/>
    </xf>
    <xf numFmtId="164" fontId="33" fillId="24" borderId="64" xfId="11" applyNumberFormat="1" applyFont="1" applyFill="1" applyBorder="1"/>
    <xf numFmtId="172" fontId="33" fillId="24" borderId="64" xfId="11" applyNumberFormat="1" applyFont="1" applyFill="1" applyBorder="1"/>
    <xf numFmtId="176" fontId="33" fillId="24" borderId="64" xfId="11" applyNumberFormat="1" applyFont="1" applyFill="1" applyBorder="1"/>
    <xf numFmtId="164" fontId="33" fillId="25" borderId="64" xfId="11" applyNumberFormat="1" applyFont="1" applyFill="1" applyBorder="1"/>
    <xf numFmtId="172" fontId="33" fillId="25" borderId="64" xfId="11" applyNumberFormat="1" applyFont="1" applyFill="1" applyBorder="1"/>
    <xf numFmtId="176" fontId="33" fillId="25" borderId="64" xfId="11" applyNumberFormat="1" applyFont="1" applyFill="1" applyBorder="1"/>
    <xf numFmtId="164" fontId="30" fillId="0" borderId="64" xfId="11" applyNumberFormat="1" applyFont="1" applyBorder="1"/>
    <xf numFmtId="172" fontId="30" fillId="0" borderId="64" xfId="11" applyNumberFormat="1" applyFont="1" applyBorder="1"/>
    <xf numFmtId="176" fontId="30" fillId="0" borderId="64" xfId="11" applyNumberFormat="1" applyFont="1" applyBorder="1"/>
    <xf numFmtId="0" fontId="50" fillId="39" borderId="64" xfId="17" applyFont="1" applyFill="1" applyBorder="1" applyAlignment="1">
      <alignment horizontal="center" vertical="center"/>
    </xf>
    <xf numFmtId="49" fontId="50" fillId="39" borderId="64" xfId="17" applyNumberFormat="1" applyFont="1" applyFill="1" applyBorder="1" applyAlignment="1">
      <alignment horizontal="center" vertical="center"/>
    </xf>
    <xf numFmtId="164" fontId="30" fillId="39" borderId="64" xfId="11" applyNumberFormat="1" applyFont="1" applyFill="1" applyBorder="1" applyAlignment="1">
      <alignment horizontal="center"/>
    </xf>
    <xf numFmtId="176" fontId="30" fillId="24" borderId="64" xfId="4" applyNumberFormat="1" applyFont="1" applyFill="1" applyBorder="1" applyAlignment="1">
      <alignment horizontal="center"/>
    </xf>
    <xf numFmtId="176" fontId="30" fillId="25" borderId="64" xfId="4" applyNumberFormat="1" applyFont="1" applyFill="1" applyBorder="1" applyAlignment="1">
      <alignment horizontal="center"/>
    </xf>
    <xf numFmtId="176" fontId="30" fillId="0" borderId="64" xfId="4" applyNumberFormat="1" applyFont="1" applyBorder="1" applyAlignment="1">
      <alignment horizontal="center"/>
    </xf>
    <xf numFmtId="176" fontId="55" fillId="24" borderId="64" xfId="4" applyNumberFormat="1" applyFont="1" applyFill="1" applyBorder="1" applyAlignment="1">
      <alignment horizontal="center" vertical="center"/>
    </xf>
    <xf numFmtId="164" fontId="30" fillId="44" borderId="64" xfId="4" applyNumberFormat="1" applyFont="1" applyFill="1" applyBorder="1" applyAlignment="1">
      <alignment horizontal="center"/>
    </xf>
    <xf numFmtId="164" fontId="30" fillId="44" borderId="64" xfId="4" quotePrefix="1" applyNumberFormat="1" applyFont="1" applyFill="1" applyBorder="1" applyAlignment="1">
      <alignment horizontal="left"/>
    </xf>
    <xf numFmtId="176" fontId="30" fillId="25" borderId="64" xfId="4" quotePrefix="1" applyNumberFormat="1" applyFont="1" applyFill="1" applyBorder="1" applyAlignment="1">
      <alignment horizontal="left"/>
    </xf>
    <xf numFmtId="164" fontId="30" fillId="9" borderId="64" xfId="4" applyNumberFormat="1" applyFont="1" applyFill="1" applyBorder="1" applyAlignment="1">
      <alignment horizontal="center"/>
    </xf>
    <xf numFmtId="0" fontId="30" fillId="44" borderId="64" xfId="0" quotePrefix="1" applyFont="1" applyFill="1" applyBorder="1" applyAlignment="1">
      <alignment horizontal="left"/>
    </xf>
    <xf numFmtId="0" fontId="30" fillId="45" borderId="64" xfId="0" quotePrefix="1" applyFont="1" applyFill="1" applyBorder="1" applyAlignment="1">
      <alignment horizontal="left"/>
    </xf>
    <xf numFmtId="164" fontId="30" fillId="45" borderId="64" xfId="4" quotePrefix="1" applyNumberFormat="1" applyFont="1" applyFill="1" applyBorder="1" applyAlignment="1">
      <alignment horizontal="left"/>
    </xf>
    <xf numFmtId="176" fontId="30" fillId="28" borderId="64" xfId="4" applyNumberFormat="1" applyFont="1" applyFill="1" applyBorder="1" applyAlignment="1">
      <alignment horizontal="center"/>
    </xf>
    <xf numFmtId="49" fontId="46" fillId="26" borderId="64" xfId="17" applyNumberFormat="1" applyFont="1" applyFill="1" applyBorder="1" applyAlignment="1">
      <alignment horizontal="center" vertical="center"/>
    </xf>
    <xf numFmtId="0" fontId="50" fillId="26" borderId="64" xfId="17" applyFont="1" applyFill="1" applyBorder="1" applyAlignment="1">
      <alignment horizontal="center" vertical="center"/>
    </xf>
    <xf numFmtId="0" fontId="52" fillId="26" borderId="64" xfId="17" applyFont="1" applyFill="1" applyBorder="1" applyAlignment="1">
      <alignment vertical="center" wrapText="1"/>
    </xf>
    <xf numFmtId="164" fontId="53" fillId="26" borderId="64" xfId="11" applyNumberFormat="1" applyFont="1" applyFill="1" applyBorder="1" applyAlignment="1">
      <alignment vertical="center" wrapText="1"/>
    </xf>
    <xf numFmtId="43" fontId="21" fillId="0" borderId="0" xfId="4"/>
    <xf numFmtId="43" fontId="21" fillId="0" borderId="0" xfId="17" applyNumberFormat="1"/>
    <xf numFmtId="49" fontId="43" fillId="0" borderId="58" xfId="5" applyNumberFormat="1" applyFont="1" applyBorder="1" applyAlignment="1">
      <alignment horizontal="center" vertical="center" wrapText="1"/>
    </xf>
    <xf numFmtId="0" fontId="42" fillId="0" borderId="54" xfId="17" applyFont="1" applyBorder="1" applyAlignment="1">
      <alignment horizontal="center" vertical="center"/>
    </xf>
    <xf numFmtId="49" fontId="46" fillId="22" borderId="63" xfId="17" applyNumberFormat="1" applyFont="1" applyFill="1" applyBorder="1" applyAlignment="1">
      <alignment horizontal="center" vertical="center" wrapText="1"/>
    </xf>
    <xf numFmtId="43" fontId="0" fillId="0" borderId="0" xfId="4" applyFont="1"/>
    <xf numFmtId="49" fontId="46" fillId="22" borderId="69" xfId="17" quotePrefix="1" applyNumberFormat="1" applyFont="1" applyFill="1" applyBorder="1" applyAlignment="1">
      <alignment horizontal="center" vertical="center" wrapText="1"/>
    </xf>
    <xf numFmtId="49" fontId="46" fillId="22" borderId="70" xfId="17" quotePrefix="1" applyNumberFormat="1" applyFont="1" applyFill="1" applyBorder="1" applyAlignment="1">
      <alignment horizontal="center" vertical="center" wrapText="1"/>
    </xf>
    <xf numFmtId="0" fontId="33" fillId="23" borderId="64" xfId="17" applyFont="1" applyFill="1" applyBorder="1" applyAlignment="1">
      <alignment vertical="center" wrapText="1"/>
    </xf>
    <xf numFmtId="164" fontId="33" fillId="23" borderId="64" xfId="11" applyNumberFormat="1" applyFont="1" applyFill="1" applyBorder="1" applyAlignment="1">
      <alignment horizontal="center" vertical="center"/>
    </xf>
    <xf numFmtId="178" fontId="49" fillId="0" borderId="62" xfId="17" applyNumberFormat="1" applyFont="1" applyBorder="1" applyAlignment="1">
      <alignment horizontal="left" vertical="center"/>
    </xf>
    <xf numFmtId="0" fontId="22" fillId="0" borderId="0" xfId="17" applyFont="1" applyAlignment="1">
      <alignment horizontal="center" vertical="center"/>
    </xf>
    <xf numFmtId="178" fontId="22" fillId="0" borderId="0" xfId="17" applyNumberFormat="1" applyFont="1" applyAlignment="1">
      <alignment horizontal="center" vertical="center"/>
    </xf>
    <xf numFmtId="0" fontId="38" fillId="47" borderId="16" xfId="17" applyFont="1" applyFill="1" applyBorder="1" applyAlignment="1">
      <alignment horizontal="justify" vertical="center" wrapText="1"/>
    </xf>
    <xf numFmtId="179" fontId="38" fillId="47" borderId="16" xfId="17" applyNumberFormat="1" applyFont="1" applyFill="1" applyBorder="1" applyAlignment="1">
      <alignment horizontal="right" vertical="center" wrapText="1"/>
    </xf>
    <xf numFmtId="179" fontId="33" fillId="48" borderId="64" xfId="11" applyNumberFormat="1" applyFont="1" applyFill="1" applyBorder="1" applyAlignment="1">
      <alignment horizontal="right" vertical="center"/>
    </xf>
    <xf numFmtId="0" fontId="49" fillId="49" borderId="62" xfId="17" applyFont="1" applyFill="1" applyBorder="1" applyAlignment="1">
      <alignment horizontal="left" vertical="center"/>
    </xf>
    <xf numFmtId="0" fontId="38" fillId="50" borderId="16" xfId="5" applyFont="1" applyFill="1" applyBorder="1" applyAlignment="1">
      <alignment horizontal="justify" vertical="center" wrapText="1"/>
    </xf>
    <xf numFmtId="179" fontId="38" fillId="50" borderId="16" xfId="5" applyNumberFormat="1" applyFont="1" applyFill="1" applyBorder="1" applyAlignment="1">
      <alignment horizontal="right" vertical="center" wrapText="1"/>
    </xf>
    <xf numFmtId="164" fontId="33" fillId="51" borderId="64" xfId="11" applyNumberFormat="1" applyFont="1" applyFill="1" applyBorder="1" applyAlignment="1">
      <alignment horizontal="center" vertical="center"/>
    </xf>
    <xf numFmtId="0" fontId="49" fillId="50" borderId="62" xfId="17" applyFont="1" applyFill="1" applyBorder="1" applyAlignment="1">
      <alignment horizontal="left" vertical="center"/>
    </xf>
    <xf numFmtId="0" fontId="36" fillId="52" borderId="16" xfId="17" applyFont="1" applyFill="1" applyBorder="1" applyAlignment="1">
      <alignment horizontal="justify" vertical="center" wrapText="1"/>
    </xf>
    <xf numFmtId="179" fontId="38" fillId="52" borderId="16" xfId="17" applyNumberFormat="1" applyFont="1" applyFill="1" applyBorder="1" applyAlignment="1">
      <alignment horizontal="right" vertical="center" wrapText="1"/>
    </xf>
    <xf numFmtId="0" fontId="49" fillId="39" borderId="62" xfId="17" applyFont="1" applyFill="1" applyBorder="1" applyAlignment="1">
      <alignment horizontal="left" vertical="center"/>
    </xf>
    <xf numFmtId="0" fontId="37" fillId="0" borderId="16" xfId="5" applyFont="1" applyBorder="1" applyAlignment="1">
      <alignment horizontal="left" vertical="center" wrapText="1"/>
    </xf>
    <xf numFmtId="179" fontId="37" fillId="10" borderId="16" xfId="4" applyNumberFormat="1" applyFont="1" applyFill="1" applyBorder="1" applyAlignment="1">
      <alignment horizontal="right" vertical="center" wrapText="1"/>
    </xf>
    <xf numFmtId="179" fontId="21" fillId="0" borderId="16" xfId="17" applyNumberFormat="1" applyBorder="1" applyAlignment="1">
      <alignment vertical="center"/>
    </xf>
    <xf numFmtId="179" fontId="21" fillId="0" borderId="16" xfId="17" applyNumberFormat="1" applyBorder="1" applyAlignment="1">
      <alignment vertical="center" wrapText="1"/>
    </xf>
    <xf numFmtId="179" fontId="37" fillId="0" borderId="16" xfId="4" applyNumberFormat="1" applyFont="1" applyBorder="1" applyAlignment="1">
      <alignment horizontal="right" vertical="center" wrapText="1"/>
    </xf>
    <xf numFmtId="179" fontId="68" fillId="0" borderId="16" xfId="4" applyNumberFormat="1" applyFont="1" applyBorder="1" applyAlignment="1">
      <alignment vertical="center"/>
    </xf>
    <xf numFmtId="179" fontId="28" fillId="0" borderId="16" xfId="4" applyNumberFormat="1" applyFont="1" applyBorder="1" applyAlignment="1">
      <alignment vertical="center"/>
    </xf>
    <xf numFmtId="164" fontId="33" fillId="53" borderId="64" xfId="11" applyNumberFormat="1" applyFont="1" applyFill="1" applyBorder="1" applyAlignment="1">
      <alignment horizontal="center" vertical="center"/>
    </xf>
    <xf numFmtId="179" fontId="49" fillId="0" borderId="62" xfId="17" applyNumberFormat="1" applyFont="1" applyBorder="1" applyAlignment="1">
      <alignment horizontal="left" vertical="center"/>
    </xf>
    <xf numFmtId="179" fontId="37" fillId="9" borderId="16" xfId="4" applyNumberFormat="1" applyFont="1" applyFill="1" applyBorder="1" applyAlignment="1">
      <alignment horizontal="right" vertical="center" wrapText="1"/>
    </xf>
    <xf numFmtId="179" fontId="37" fillId="10" borderId="16" xfId="5" applyNumberFormat="1" applyFont="1" applyFill="1" applyBorder="1" applyAlignment="1">
      <alignment horizontal="right" vertical="center" wrapText="1"/>
    </xf>
    <xf numFmtId="179" fontId="37" fillId="0" borderId="16" xfId="5" applyNumberFormat="1" applyFont="1" applyBorder="1" applyAlignment="1">
      <alignment horizontal="right" vertical="center" wrapText="1"/>
    </xf>
    <xf numFmtId="179" fontId="28" fillId="0" borderId="16" xfId="17" applyNumberFormat="1" applyFont="1" applyBorder="1" applyAlignment="1">
      <alignment vertical="center"/>
    </xf>
    <xf numFmtId="0" fontId="0" fillId="0" borderId="0" xfId="17" applyFont="1" applyAlignment="1">
      <alignment vertical="center"/>
    </xf>
    <xf numFmtId="179" fontId="21" fillId="10" borderId="16" xfId="17" applyNumberFormat="1" applyFill="1" applyBorder="1" applyAlignment="1">
      <alignment vertical="center"/>
    </xf>
    <xf numFmtId="179" fontId="37" fillId="0" borderId="16" xfId="14" applyNumberFormat="1" applyFont="1" applyBorder="1" applyAlignment="1">
      <alignment horizontal="right" vertical="center" wrapText="1"/>
    </xf>
    <xf numFmtId="179" fontId="21" fillId="54" borderId="16" xfId="17" applyNumberFormat="1" applyFill="1" applyBorder="1" applyAlignment="1">
      <alignment vertical="center"/>
    </xf>
    <xf numFmtId="179" fontId="28" fillId="0" borderId="16" xfId="17" applyNumberFormat="1" applyFont="1" applyBorder="1" applyAlignment="1">
      <alignment vertical="center" wrapText="1"/>
    </xf>
    <xf numFmtId="179" fontId="28" fillId="0" borderId="16" xfId="4" applyNumberFormat="1" applyFont="1" applyBorder="1" applyAlignment="1">
      <alignment vertical="center" wrapText="1"/>
    </xf>
    <xf numFmtId="179" fontId="69" fillId="0" borderId="16" xfId="5" applyNumberFormat="1" applyFont="1" applyBorder="1" applyAlignment="1">
      <alignment horizontal="right" vertical="center" wrapText="1"/>
    </xf>
    <xf numFmtId="179" fontId="21" fillId="10" borderId="16" xfId="4" applyNumberFormat="1" applyFill="1" applyBorder="1" applyAlignment="1">
      <alignment vertical="center"/>
    </xf>
    <xf numFmtId="179" fontId="21" fillId="0" borderId="16" xfId="4" applyNumberFormat="1" applyBorder="1" applyAlignment="1">
      <alignment vertical="center"/>
    </xf>
    <xf numFmtId="179" fontId="28" fillId="10" borderId="16" xfId="4" applyNumberFormat="1" applyFont="1" applyFill="1" applyBorder="1" applyAlignment="1">
      <alignment vertical="center"/>
    </xf>
    <xf numFmtId="179" fontId="36" fillId="39" borderId="16" xfId="4" applyNumberFormat="1" applyFont="1" applyFill="1" applyBorder="1" applyAlignment="1">
      <alignment horizontal="right" vertical="center" wrapText="1"/>
    </xf>
    <xf numFmtId="0" fontId="70" fillId="39" borderId="62" xfId="17" applyFont="1" applyFill="1" applyBorder="1" applyAlignment="1">
      <alignment horizontal="left" vertical="center"/>
    </xf>
    <xf numFmtId="0" fontId="28" fillId="0" borderId="0" xfId="17" applyFont="1" applyAlignment="1">
      <alignment vertical="center"/>
    </xf>
    <xf numFmtId="179" fontId="28" fillId="9" borderId="16" xfId="17" applyNumberFormat="1" applyFont="1" applyFill="1" applyBorder="1" applyAlignment="1">
      <alignment vertical="center"/>
    </xf>
    <xf numFmtId="179" fontId="28" fillId="9" borderId="16" xfId="4" applyNumberFormat="1" applyFont="1" applyFill="1" applyBorder="1" applyAlignment="1">
      <alignment vertical="center"/>
    </xf>
    <xf numFmtId="0" fontId="37" fillId="0" borderId="16" xfId="5" applyFont="1" applyBorder="1" applyAlignment="1">
      <alignment vertical="center" wrapText="1"/>
    </xf>
    <xf numFmtId="0" fontId="38" fillId="49" borderId="16" xfId="5" applyFont="1" applyFill="1" applyBorder="1" applyAlignment="1">
      <alignment horizontal="justify" vertical="center" wrapText="1"/>
    </xf>
    <xf numFmtId="179" fontId="38" fillId="49" borderId="16" xfId="5" applyNumberFormat="1" applyFont="1" applyFill="1" applyBorder="1" applyAlignment="1">
      <alignment horizontal="right" vertical="center" wrapText="1"/>
    </xf>
    <xf numFmtId="164" fontId="33" fillId="48" borderId="64" xfId="11" applyNumberFormat="1" applyFont="1" applyFill="1" applyBorder="1" applyAlignment="1">
      <alignment horizontal="center" vertical="center"/>
    </xf>
    <xf numFmtId="179" fontId="33" fillId="55" borderId="64" xfId="11" applyNumberFormat="1" applyFont="1" applyFill="1" applyBorder="1" applyAlignment="1">
      <alignment horizontal="right" vertical="center"/>
    </xf>
    <xf numFmtId="179" fontId="33" fillId="53" borderId="64" xfId="11" applyNumberFormat="1" applyFont="1" applyFill="1" applyBorder="1" applyAlignment="1">
      <alignment horizontal="right" vertical="center"/>
    </xf>
    <xf numFmtId="179" fontId="21" fillId="0" borderId="16" xfId="17" applyNumberFormat="1" applyBorder="1" applyAlignment="1">
      <alignment horizontal="right" vertical="center"/>
    </xf>
    <xf numFmtId="179" fontId="21" fillId="10" borderId="16" xfId="17" applyNumberFormat="1" applyFill="1" applyBorder="1" applyAlignment="1">
      <alignment horizontal="right" vertical="center"/>
    </xf>
    <xf numFmtId="179" fontId="71" fillId="46" borderId="16" xfId="17" applyNumberFormat="1" applyFont="1" applyFill="1" applyBorder="1" applyAlignment="1">
      <alignment horizontal="right" vertical="center"/>
    </xf>
    <xf numFmtId="180" fontId="71" fillId="46" borderId="16" xfId="17" applyNumberFormat="1" applyFont="1" applyFill="1" applyBorder="1" applyAlignment="1">
      <alignment horizontal="right" vertical="center"/>
    </xf>
    <xf numFmtId="0" fontId="72" fillId="0" borderId="0" xfId="17" applyFont="1" applyAlignment="1">
      <alignment vertical="center"/>
    </xf>
    <xf numFmtId="0" fontId="21" fillId="0" borderId="0" xfId="17" applyAlignment="1">
      <alignment vertical="center" wrapText="1"/>
    </xf>
    <xf numFmtId="178" fontId="21" fillId="0" borderId="0" xfId="17" applyNumberFormat="1" applyAlignment="1">
      <alignment vertical="center"/>
    </xf>
    <xf numFmtId="0" fontId="21" fillId="0" borderId="0" xfId="17" applyAlignment="1">
      <alignment horizontal="right" vertical="center"/>
    </xf>
    <xf numFmtId="178" fontId="21" fillId="0" borderId="0" xfId="17" applyNumberFormat="1" applyAlignment="1">
      <alignment horizontal="right" vertical="center"/>
    </xf>
    <xf numFmtId="178" fontId="21" fillId="9" borderId="0" xfId="17" applyNumberFormat="1" applyFill="1" applyAlignment="1">
      <alignment horizontal="right" vertical="center"/>
    </xf>
    <xf numFmtId="43" fontId="21" fillId="0" borderId="0" xfId="4" applyAlignment="1">
      <alignment vertical="center"/>
    </xf>
    <xf numFmtId="43" fontId="21" fillId="0" borderId="0" xfId="4" applyAlignment="1">
      <alignment horizontal="right" vertical="center"/>
    </xf>
    <xf numFmtId="43" fontId="21" fillId="9" borderId="0" xfId="4" applyFill="1" applyAlignment="1">
      <alignment vertical="center"/>
    </xf>
    <xf numFmtId="43" fontId="21" fillId="9" borderId="0" xfId="4" applyFill="1" applyAlignment="1">
      <alignment horizontal="right" vertical="center"/>
    </xf>
    <xf numFmtId="43" fontId="21" fillId="0" borderId="0" xfId="4" applyAlignment="1">
      <alignment vertical="center" wrapText="1"/>
    </xf>
    <xf numFmtId="179" fontId="21" fillId="0" borderId="0" xfId="17" applyNumberFormat="1" applyAlignment="1">
      <alignment horizontal="right" vertical="center"/>
    </xf>
    <xf numFmtId="0" fontId="21" fillId="0" borderId="0" xfId="17" applyAlignment="1">
      <alignment horizontal="right" vertical="center" wrapText="1"/>
    </xf>
    <xf numFmtId="179" fontId="21" fillId="9" borderId="0" xfId="17" applyNumberFormat="1" applyFill="1" applyAlignment="1">
      <alignment horizontal="right" vertical="center"/>
    </xf>
    <xf numFmtId="178" fontId="21" fillId="9" borderId="0" xfId="17" applyNumberFormat="1" applyFill="1" applyAlignment="1">
      <alignment vertical="center"/>
    </xf>
    <xf numFmtId="43" fontId="21" fillId="0" borderId="0" xfId="17" applyNumberFormat="1" applyAlignment="1">
      <alignment horizontal="right" vertical="center"/>
    </xf>
    <xf numFmtId="180" fontId="21" fillId="0" borderId="0" xfId="17" applyNumberFormat="1" applyAlignment="1">
      <alignment vertical="center"/>
    </xf>
    <xf numFmtId="179" fontId="21" fillId="0" borderId="0" xfId="17" applyNumberFormat="1" applyAlignment="1">
      <alignment vertical="center"/>
    </xf>
    <xf numFmtId="178" fontId="21" fillId="0" borderId="0" xfId="17" applyNumberFormat="1" applyAlignment="1">
      <alignment vertical="center" wrapText="1"/>
    </xf>
    <xf numFmtId="0" fontId="33" fillId="35" borderId="40" xfId="5" applyFont="1" applyFill="1" applyBorder="1" applyAlignment="1">
      <alignment horizontal="center" vertical="top" wrapText="1"/>
    </xf>
    <xf numFmtId="0" fontId="33" fillId="31" borderId="9" xfId="5" applyFont="1" applyFill="1" applyBorder="1" applyAlignment="1">
      <alignment horizontal="center" vertical="top" wrapText="1"/>
    </xf>
    <xf numFmtId="0" fontId="37" fillId="0" borderId="46" xfId="5" applyFont="1" applyBorder="1" applyAlignment="1">
      <alignment vertical="center" wrapText="1"/>
    </xf>
    <xf numFmtId="9" fontId="36" fillId="31" borderId="51" xfId="3" applyFont="1" applyFill="1" applyBorder="1" applyAlignment="1">
      <alignment vertical="center" wrapText="1"/>
    </xf>
    <xf numFmtId="166" fontId="36" fillId="33" borderId="51" xfId="4" applyNumberFormat="1" applyFont="1" applyFill="1" applyBorder="1" applyAlignment="1">
      <alignment vertical="center" wrapText="1"/>
    </xf>
    <xf numFmtId="9" fontId="36" fillId="33" borderId="51" xfId="3" applyFont="1" applyFill="1" applyBorder="1" applyAlignment="1">
      <alignment vertical="center" wrapText="1"/>
    </xf>
    <xf numFmtId="180" fontId="37" fillId="0" borderId="43" xfId="5" applyNumberFormat="1" applyFont="1" applyBorder="1" applyAlignment="1">
      <alignment vertical="center" wrapText="1"/>
    </xf>
    <xf numFmtId="9" fontId="36" fillId="35" borderId="42" xfId="3" applyFont="1" applyFill="1" applyBorder="1" applyAlignment="1">
      <alignment vertical="center" wrapText="1"/>
    </xf>
    <xf numFmtId="3" fontId="36" fillId="33" borderId="41" xfId="5" applyNumberFormat="1" applyFont="1" applyFill="1" applyBorder="1" applyAlignment="1">
      <alignment vertical="center" wrapText="1"/>
    </xf>
    <xf numFmtId="180" fontId="37" fillId="0" borderId="47" xfId="5" applyNumberFormat="1" applyFont="1" applyBorder="1" applyAlignment="1">
      <alignment vertical="center" wrapText="1"/>
    </xf>
    <xf numFmtId="3" fontId="37" fillId="0" borderId="12" xfId="5" applyNumberFormat="1" applyFont="1" applyBorder="1" applyAlignment="1">
      <alignment vertical="center" wrapText="1"/>
    </xf>
    <xf numFmtId="9" fontId="36" fillId="31" borderId="42" xfId="3" applyFont="1" applyFill="1" applyBorder="1" applyAlignment="1">
      <alignment vertical="center" wrapText="1"/>
    </xf>
    <xf numFmtId="180" fontId="36" fillId="35" borderId="42" xfId="5" applyNumberFormat="1" applyFont="1" applyFill="1" applyBorder="1" applyAlignment="1">
      <alignment vertical="center" wrapText="1"/>
    </xf>
    <xf numFmtId="9" fontId="36" fillId="13" borderId="12" xfId="3" applyFont="1" applyFill="1" applyBorder="1" applyAlignment="1">
      <alignment horizontal="center" vertical="center" wrapText="1"/>
    </xf>
    <xf numFmtId="180" fontId="36" fillId="13" borderId="12" xfId="7" applyNumberFormat="1" applyFont="1" applyFill="1" applyBorder="1" applyAlignment="1">
      <alignment vertical="center" wrapText="1"/>
    </xf>
    <xf numFmtId="164" fontId="33" fillId="55" borderId="64" xfId="11" applyNumberFormat="1" applyFont="1" applyFill="1" applyBorder="1" applyAlignment="1">
      <alignment horizontal="center" vertical="center"/>
    </xf>
    <xf numFmtId="179" fontId="37" fillId="9" borderId="16" xfId="5" applyNumberFormat="1" applyFont="1" applyFill="1" applyBorder="1" applyAlignment="1">
      <alignment horizontal="right" vertical="center" wrapText="1"/>
    </xf>
    <xf numFmtId="179" fontId="28" fillId="9" borderId="16" xfId="4" applyNumberFormat="1" applyFont="1" applyFill="1" applyBorder="1" applyAlignment="1">
      <alignment vertical="center" wrapText="1"/>
    </xf>
    <xf numFmtId="179" fontId="7" fillId="9" borderId="16" xfId="4" applyNumberFormat="1" applyFont="1" applyFill="1" applyBorder="1" applyAlignment="1">
      <alignment vertical="center"/>
    </xf>
    <xf numFmtId="179" fontId="7" fillId="0" borderId="16" xfId="4" applyNumberFormat="1" applyFont="1" applyBorder="1" applyAlignment="1">
      <alignment vertical="center"/>
    </xf>
    <xf numFmtId="179" fontId="36" fillId="10" borderId="16" xfId="4" applyNumberFormat="1" applyFont="1" applyFill="1" applyBorder="1" applyAlignment="1">
      <alignment horizontal="right" vertical="center" wrapText="1"/>
    </xf>
    <xf numFmtId="0" fontId="37" fillId="9" borderId="16" xfId="5" applyFont="1" applyFill="1" applyBorder="1" applyAlignment="1">
      <alignment horizontal="left" vertical="center" wrapText="1"/>
    </xf>
    <xf numFmtId="180" fontId="21" fillId="9" borderId="0" xfId="17" applyNumberFormat="1" applyFill="1" applyAlignment="1">
      <alignment horizontal="right" vertical="center"/>
    </xf>
    <xf numFmtId="166" fontId="36" fillId="33" borderId="44" xfId="4" applyNumberFormat="1" applyFont="1" applyFill="1" applyBorder="1" applyAlignment="1">
      <alignment vertical="center" wrapText="1"/>
    </xf>
    <xf numFmtId="9" fontId="36" fillId="33" borderId="44" xfId="3" applyFont="1" applyFill="1" applyBorder="1" applyAlignment="1">
      <alignment vertical="center" wrapText="1"/>
    </xf>
    <xf numFmtId="0" fontId="30" fillId="28" borderId="64" xfId="0" quotePrefix="1" applyFont="1" applyFill="1" applyBorder="1" applyAlignment="1">
      <alignment horizontal="left"/>
    </xf>
    <xf numFmtId="0" fontId="31" fillId="12" borderId="14" xfId="0" applyFont="1" applyFill="1" applyBorder="1" applyAlignment="1">
      <alignment horizontal="center" vertical="center" wrapText="1"/>
    </xf>
    <xf numFmtId="0" fontId="31" fillId="12" borderId="15" xfId="0" applyFont="1" applyFill="1" applyBorder="1" applyAlignment="1">
      <alignment horizontal="center" vertical="center" wrapText="1"/>
    </xf>
    <xf numFmtId="0" fontId="31" fillId="12" borderId="7" xfId="0" applyFont="1" applyFill="1" applyBorder="1" applyAlignment="1">
      <alignment horizontal="center" vertical="center" wrapText="1"/>
    </xf>
    <xf numFmtId="0" fontId="36" fillId="15" borderId="1" xfId="5" applyFont="1" applyFill="1" applyBorder="1" applyAlignment="1">
      <alignment horizontal="center" vertical="center" wrapText="1"/>
    </xf>
    <xf numFmtId="0" fontId="36" fillId="15" borderId="5" xfId="5" applyFont="1" applyFill="1" applyBorder="1" applyAlignment="1">
      <alignment horizontal="center" vertical="center" wrapText="1"/>
    </xf>
    <xf numFmtId="0" fontId="36" fillId="17" borderId="1" xfId="5" applyFont="1" applyFill="1" applyBorder="1" applyAlignment="1">
      <alignment horizontal="center" vertical="center" wrapText="1"/>
    </xf>
    <xf numFmtId="0" fontId="36" fillId="17" borderId="5" xfId="5" applyFont="1" applyFill="1" applyBorder="1" applyAlignment="1">
      <alignment horizontal="center" vertical="center" wrapText="1"/>
    </xf>
    <xf numFmtId="9" fontId="36" fillId="17" borderId="1" xfId="3" applyFont="1" applyFill="1" applyBorder="1" applyAlignment="1">
      <alignment horizontal="center" vertical="center" wrapText="1"/>
    </xf>
    <xf numFmtId="9" fontId="36" fillId="17" borderId="5" xfId="3" applyFont="1" applyFill="1" applyBorder="1" applyAlignment="1">
      <alignment horizontal="center" vertical="center" wrapText="1"/>
    </xf>
    <xf numFmtId="0" fontId="36" fillId="15" borderId="14" xfId="5" applyFont="1" applyFill="1" applyBorder="1" applyAlignment="1">
      <alignment horizontal="center" vertical="center" wrapText="1"/>
    </xf>
    <xf numFmtId="0" fontId="36" fillId="15" borderId="7" xfId="5" applyFont="1" applyFill="1" applyBorder="1" applyAlignment="1">
      <alignment horizontal="center" vertical="center" wrapText="1"/>
    </xf>
    <xf numFmtId="0" fontId="33" fillId="0" borderId="0" xfId="5" applyFont="1" applyAlignment="1">
      <alignment horizontal="left" vertical="center" wrapText="1"/>
    </xf>
    <xf numFmtId="0" fontId="37" fillId="0" borderId="0" xfId="5" applyFont="1" applyAlignment="1">
      <alignment horizontal="justify" vertical="center" wrapText="1"/>
    </xf>
    <xf numFmtId="0" fontId="30" fillId="0" borderId="0" xfId="5" applyFont="1" applyAlignment="1">
      <alignment horizontal="left" vertical="center" wrapText="1"/>
    </xf>
    <xf numFmtId="0" fontId="33" fillId="0" borderId="0" xfId="5" applyFont="1" applyAlignment="1">
      <alignment horizontal="center" vertical="center" wrapText="1"/>
    </xf>
    <xf numFmtId="0" fontId="35" fillId="13" borderId="14" xfId="5" applyFont="1" applyFill="1" applyBorder="1" applyAlignment="1">
      <alignment horizontal="center" vertical="top" wrapText="1"/>
    </xf>
    <xf numFmtId="0" fontId="35" fillId="13" borderId="15" xfId="5" applyFont="1" applyFill="1" applyBorder="1" applyAlignment="1">
      <alignment horizontal="center" vertical="top" wrapText="1"/>
    </xf>
    <xf numFmtId="0" fontId="35" fillId="13" borderId="3" xfId="5" applyFont="1" applyFill="1" applyBorder="1" applyAlignment="1">
      <alignment horizontal="center" vertical="top" wrapText="1"/>
    </xf>
    <xf numFmtId="0" fontId="31" fillId="14" borderId="14" xfId="5" applyFont="1" applyFill="1" applyBorder="1" applyAlignment="1">
      <alignment horizontal="center" vertical="top" wrapText="1"/>
    </xf>
    <xf numFmtId="0" fontId="31" fillId="14" borderId="15" xfId="5" applyFont="1" applyFill="1" applyBorder="1" applyAlignment="1">
      <alignment horizontal="center" vertical="top" wrapText="1"/>
    </xf>
    <xf numFmtId="0" fontId="34" fillId="13" borderId="14" xfId="5" applyFont="1" applyFill="1" applyBorder="1" applyAlignment="1">
      <alignment horizontal="center" vertical="center" wrapText="1"/>
    </xf>
    <xf numFmtId="0" fontId="34" fillId="13" borderId="7" xfId="5" applyFont="1" applyFill="1" applyBorder="1" applyAlignment="1">
      <alignment horizontal="center" vertical="center" wrapText="1"/>
    </xf>
    <xf numFmtId="0" fontId="30" fillId="0" borderId="3" xfId="5" applyFont="1" applyBorder="1" applyAlignment="1">
      <alignment horizontal="left" vertical="top" wrapText="1"/>
    </xf>
    <xf numFmtId="0" fontId="37" fillId="0" borderId="47" xfId="5" applyFont="1" applyBorder="1" applyAlignment="1">
      <alignment horizontal="left" vertical="center" wrapText="1" indent="2"/>
    </xf>
    <xf numFmtId="0" fontId="37" fillId="0" borderId="51" xfId="5" applyFont="1" applyBorder="1" applyAlignment="1">
      <alignment horizontal="left" vertical="center" wrapText="1" indent="2"/>
    </xf>
    <xf numFmtId="3" fontId="37" fillId="0" borderId="47" xfId="5" applyNumberFormat="1" applyFont="1" applyBorder="1" applyAlignment="1">
      <alignment horizontal="center" vertical="center" wrapText="1"/>
    </xf>
    <xf numFmtId="3" fontId="37" fillId="0" borderId="51" xfId="5" applyNumberFormat="1" applyFont="1" applyBorder="1" applyAlignment="1">
      <alignment horizontal="center" vertical="center" wrapText="1"/>
    </xf>
    <xf numFmtId="0" fontId="36" fillId="15" borderId="15" xfId="5" applyFont="1" applyFill="1" applyBorder="1" applyAlignment="1">
      <alignment horizontal="center" vertical="center" wrapText="1"/>
    </xf>
    <xf numFmtId="0" fontId="36" fillId="18" borderId="1" xfId="5" applyFont="1" applyFill="1" applyBorder="1" applyAlignment="1">
      <alignment horizontal="center" vertical="center" wrapText="1"/>
    </xf>
    <xf numFmtId="0" fontId="36" fillId="18" borderId="5" xfId="5" applyFont="1" applyFill="1" applyBorder="1" applyAlignment="1">
      <alignment horizontal="center" vertical="center" wrapText="1"/>
    </xf>
    <xf numFmtId="0" fontId="31" fillId="12" borderId="2" xfId="5" applyFont="1" applyFill="1" applyBorder="1" applyAlignment="1">
      <alignment horizontal="center" vertical="center" wrapText="1"/>
    </xf>
    <xf numFmtId="0" fontId="31" fillId="12" borderId="3" xfId="5" applyFont="1" applyFill="1" applyBorder="1" applyAlignment="1">
      <alignment horizontal="center" vertical="center" wrapText="1"/>
    </xf>
    <xf numFmtId="0" fontId="31" fillId="12" borderId="4" xfId="5" applyFont="1" applyFill="1" applyBorder="1" applyAlignment="1">
      <alignment horizontal="center" vertical="center" wrapText="1"/>
    </xf>
    <xf numFmtId="0" fontId="31" fillId="12" borderId="10" xfId="5" applyFont="1" applyFill="1" applyBorder="1" applyAlignment="1">
      <alignment horizontal="center" vertical="center" wrapText="1"/>
    </xf>
    <xf numFmtId="0" fontId="31" fillId="12" borderId="11" xfId="5" applyFont="1" applyFill="1" applyBorder="1" applyAlignment="1">
      <alignment horizontal="center" vertical="center" wrapText="1"/>
    </xf>
    <xf numFmtId="0" fontId="31" fillId="12" borderId="8" xfId="5" applyFont="1" applyFill="1" applyBorder="1" applyAlignment="1">
      <alignment horizontal="center" vertical="center" wrapText="1"/>
    </xf>
    <xf numFmtId="0" fontId="30" fillId="11" borderId="14" xfId="5" applyFont="1" applyFill="1" applyBorder="1" applyAlignment="1">
      <alignment horizontal="center" vertical="center" wrapText="1"/>
    </xf>
    <xf numFmtId="0" fontId="30" fillId="11" borderId="15" xfId="5" applyFont="1" applyFill="1" applyBorder="1" applyAlignment="1">
      <alignment horizontal="center" vertical="center" wrapText="1"/>
    </xf>
    <xf numFmtId="0" fontId="30" fillId="11" borderId="7" xfId="5" applyFont="1" applyFill="1" applyBorder="1" applyAlignment="1">
      <alignment horizontal="center" vertical="center" wrapText="1"/>
    </xf>
    <xf numFmtId="0" fontId="33" fillId="13" borderId="1" xfId="5" applyFont="1" applyFill="1" applyBorder="1" applyAlignment="1">
      <alignment horizontal="center" vertical="center" wrapText="1"/>
    </xf>
    <xf numFmtId="0" fontId="33" fillId="13" borderId="5" xfId="5" applyFont="1" applyFill="1" applyBorder="1" applyAlignment="1">
      <alignment horizontal="center" vertical="center" wrapText="1"/>
    </xf>
    <xf numFmtId="9" fontId="36" fillId="15" borderId="14" xfId="3" applyFont="1" applyFill="1" applyBorder="1" applyAlignment="1">
      <alignment horizontal="center" vertical="center" wrapText="1"/>
    </xf>
    <xf numFmtId="9" fontId="36" fillId="15" borderId="15" xfId="3" applyFont="1" applyFill="1" applyBorder="1" applyAlignment="1">
      <alignment horizontal="center" vertical="center" wrapText="1"/>
    </xf>
    <xf numFmtId="9" fontId="36" fillId="15" borderId="7" xfId="3" applyFont="1" applyFill="1" applyBorder="1" applyAlignment="1">
      <alignment horizontal="center" vertical="center" wrapText="1"/>
    </xf>
    <xf numFmtId="0" fontId="36" fillId="16" borderId="1" xfId="5" applyFont="1" applyFill="1" applyBorder="1" applyAlignment="1">
      <alignment horizontal="center" vertical="center" wrapText="1"/>
    </xf>
    <xf numFmtId="0" fontId="36" fillId="16" borderId="5" xfId="5" applyFont="1" applyFill="1" applyBorder="1" applyAlignment="1">
      <alignment horizontal="center" vertical="center" wrapText="1"/>
    </xf>
    <xf numFmtId="9" fontId="36" fillId="16" borderId="1" xfId="3" applyFont="1" applyFill="1" applyBorder="1" applyAlignment="1">
      <alignment horizontal="center" vertical="center" wrapText="1"/>
    </xf>
    <xf numFmtId="9" fontId="36" fillId="16" borderId="5" xfId="3" applyFont="1" applyFill="1" applyBorder="1" applyAlignment="1">
      <alignment horizontal="center" vertical="center" wrapText="1"/>
    </xf>
    <xf numFmtId="0" fontId="56" fillId="27" borderId="68" xfId="0" applyFont="1" applyFill="1" applyBorder="1" applyAlignment="1" applyProtection="1">
      <alignment horizontal="center" vertical="center" wrapText="1"/>
      <protection locked="0"/>
    </xf>
    <xf numFmtId="0" fontId="56" fillId="27" borderId="67" xfId="0" applyFont="1" applyFill="1" applyBorder="1" applyAlignment="1" applyProtection="1">
      <alignment horizontal="center" vertical="center" wrapText="1"/>
      <protection locked="0"/>
    </xf>
    <xf numFmtId="0" fontId="56" fillId="27" borderId="1" xfId="0" applyFont="1" applyFill="1" applyBorder="1" applyAlignment="1" applyProtection="1">
      <alignment horizontal="center" vertical="center" wrapText="1"/>
      <protection locked="0"/>
    </xf>
    <xf numFmtId="0" fontId="56" fillId="27" borderId="5" xfId="0" applyFont="1" applyFill="1" applyBorder="1" applyAlignment="1" applyProtection="1">
      <alignment horizontal="center" vertical="center" wrapText="1"/>
      <protection locked="0"/>
    </xf>
    <xf numFmtId="0" fontId="36" fillId="13" borderId="1" xfId="5" applyFont="1" applyFill="1" applyBorder="1" applyAlignment="1">
      <alignment horizontal="center" vertical="center" wrapText="1"/>
    </xf>
    <xf numFmtId="0" fontId="36" fillId="13" borderId="5" xfId="5" applyFont="1" applyFill="1" applyBorder="1" applyAlignment="1">
      <alignment horizontal="center" vertical="center" wrapText="1"/>
    </xf>
    <xf numFmtId="0" fontId="65" fillId="30" borderId="1" xfId="0" applyFont="1" applyFill="1" applyBorder="1" applyAlignment="1" applyProtection="1">
      <alignment horizontal="center" vertical="center" wrapText="1"/>
      <protection locked="0"/>
    </xf>
    <xf numFmtId="0" fontId="65" fillId="30" borderId="5" xfId="0" applyFont="1" applyFill="1" applyBorder="1" applyAlignment="1" applyProtection="1">
      <alignment horizontal="center" vertical="center" wrapText="1"/>
      <protection locked="0"/>
    </xf>
    <xf numFmtId="0" fontId="38" fillId="11" borderId="11" xfId="5" applyFont="1" applyFill="1" applyBorder="1" applyAlignment="1">
      <alignment horizontal="center" vertical="center"/>
    </xf>
    <xf numFmtId="0" fontId="38" fillId="13" borderId="2" xfId="5" applyFont="1" applyFill="1" applyBorder="1" applyAlignment="1">
      <alignment horizontal="center" vertical="center" wrapText="1"/>
    </xf>
    <xf numFmtId="0" fontId="38" fillId="13" borderId="52" xfId="5" applyFont="1" applyFill="1" applyBorder="1" applyAlignment="1">
      <alignment horizontal="center" vertical="center" wrapText="1"/>
    </xf>
    <xf numFmtId="0" fontId="38" fillId="13" borderId="14" xfId="5" applyFont="1" applyFill="1" applyBorder="1" applyAlignment="1">
      <alignment horizontal="center" vertical="center" wrapText="1"/>
    </xf>
    <xf numFmtId="0" fontId="38" fillId="13" borderId="7" xfId="5" applyFont="1" applyFill="1" applyBorder="1" applyAlignment="1">
      <alignment horizontal="center" vertical="center" wrapText="1"/>
    </xf>
    <xf numFmtId="49" fontId="43" fillId="9" borderId="57" xfId="5" applyNumberFormat="1" applyFont="1" applyFill="1" applyBorder="1" applyAlignment="1">
      <alignment horizontal="center" vertical="center" wrapText="1"/>
    </xf>
    <xf numFmtId="49" fontId="43" fillId="9" borderId="55" xfId="5" applyNumberFormat="1" applyFont="1" applyFill="1" applyBorder="1" applyAlignment="1">
      <alignment horizontal="center" vertical="center" wrapText="1"/>
    </xf>
    <xf numFmtId="49" fontId="43" fillId="0" borderId="55" xfId="5" applyNumberFormat="1" applyFont="1" applyBorder="1" applyAlignment="1">
      <alignment horizontal="center" vertical="center" wrapText="1"/>
    </xf>
    <xf numFmtId="49" fontId="43" fillId="0" borderId="58" xfId="5" applyNumberFormat="1" applyFont="1" applyBorder="1" applyAlignment="1">
      <alignment horizontal="center" vertical="center" wrapText="1"/>
    </xf>
    <xf numFmtId="49" fontId="43" fillId="0" borderId="57" xfId="5" applyNumberFormat="1" applyFont="1" applyBorder="1" applyAlignment="1">
      <alignment horizontal="center" vertical="center" wrapText="1"/>
    </xf>
    <xf numFmtId="49" fontId="66" fillId="3" borderId="59" xfId="5" applyNumberFormat="1" applyFont="1" applyFill="1" applyBorder="1" applyAlignment="1">
      <alignment horizontal="center" vertical="center"/>
    </xf>
    <xf numFmtId="49" fontId="66" fillId="3" borderId="55" xfId="5" applyNumberFormat="1" applyFont="1" applyFill="1" applyBorder="1" applyAlignment="1">
      <alignment horizontal="center" vertical="center"/>
    </xf>
    <xf numFmtId="0" fontId="32" fillId="11" borderId="14" xfId="5" applyFill="1" applyBorder="1" applyAlignment="1">
      <alignment horizontal="center"/>
    </xf>
    <xf numFmtId="0" fontId="32" fillId="11" borderId="15" xfId="5" applyFill="1" applyBorder="1" applyAlignment="1">
      <alignment horizontal="center"/>
    </xf>
    <xf numFmtId="0" fontId="21" fillId="11" borderId="15" xfId="5" applyFont="1" applyFill="1" applyBorder="1" applyAlignment="1">
      <alignment horizontal="center"/>
    </xf>
    <xf numFmtId="0" fontId="32" fillId="0" borderId="2" xfId="5" applyBorder="1" applyAlignment="1">
      <alignment horizontal="center" vertical="center"/>
    </xf>
    <xf numFmtId="0" fontId="32" fillId="0" borderId="3" xfId="5" applyBorder="1" applyAlignment="1">
      <alignment horizontal="center" vertical="center"/>
    </xf>
    <xf numFmtId="0" fontId="32" fillId="0" borderId="9" xfId="5" applyBorder="1" applyAlignment="1">
      <alignment horizontal="center" vertical="center"/>
    </xf>
    <xf numFmtId="0" fontId="32" fillId="0" borderId="0" xfId="5" applyAlignment="1">
      <alignment horizontal="center" vertical="center"/>
    </xf>
    <xf numFmtId="0" fontId="32" fillId="0" borderId="10" xfId="5" applyBorder="1" applyAlignment="1">
      <alignment horizontal="center" vertical="center"/>
    </xf>
    <xf numFmtId="0" fontId="32" fillId="0" borderId="11" xfId="5" applyBorder="1" applyAlignment="1">
      <alignment horizontal="center" vertical="center"/>
    </xf>
    <xf numFmtId="0" fontId="42" fillId="0" borderId="53" xfId="17" applyFont="1" applyBorder="1" applyAlignment="1">
      <alignment horizontal="center" vertical="center" wrapText="1"/>
    </xf>
    <xf numFmtId="0" fontId="42" fillId="0" borderId="53" xfId="17" applyFont="1" applyBorder="1" applyAlignment="1">
      <alignment horizontal="center" vertical="center"/>
    </xf>
    <xf numFmtId="0" fontId="42" fillId="0" borderId="54" xfId="17" applyFont="1" applyBorder="1" applyAlignment="1">
      <alignment horizontal="center" vertical="center"/>
    </xf>
    <xf numFmtId="49" fontId="44" fillId="0" borderId="55" xfId="5" applyNumberFormat="1" applyFont="1" applyBorder="1" applyAlignment="1">
      <alignment horizontal="center" vertical="center" wrapText="1"/>
    </xf>
    <xf numFmtId="49" fontId="43" fillId="0" borderId="56" xfId="5" applyNumberFormat="1" applyFont="1" applyBorder="1" applyAlignment="1">
      <alignment horizontal="center" vertical="center" wrapText="1"/>
    </xf>
    <xf numFmtId="49" fontId="43" fillId="0" borderId="53" xfId="5" applyNumberFormat="1" applyFont="1" applyBorder="1" applyAlignment="1">
      <alignment horizontal="center" vertical="center" wrapText="1"/>
    </xf>
    <xf numFmtId="49" fontId="43" fillId="0" borderId="54" xfId="5" applyNumberFormat="1" applyFont="1" applyBorder="1" applyAlignment="1">
      <alignment horizontal="center" vertical="center" wrapText="1"/>
    </xf>
    <xf numFmtId="49" fontId="46" fillId="0" borderId="60" xfId="17" quotePrefix="1" applyNumberFormat="1" applyFont="1" applyBorder="1" applyAlignment="1">
      <alignment horizontal="center" vertical="center" wrapText="1"/>
    </xf>
    <xf numFmtId="0" fontId="47" fillId="0" borderId="61" xfId="17" applyFont="1" applyBorder="1"/>
    <xf numFmtId="0" fontId="47" fillId="0" borderId="62" xfId="17" applyFont="1" applyBorder="1"/>
    <xf numFmtId="49" fontId="46" fillId="22" borderId="63" xfId="17" applyNumberFormat="1" applyFont="1" applyFill="1" applyBorder="1" applyAlignment="1">
      <alignment horizontal="center" vertical="center" wrapText="1"/>
    </xf>
    <xf numFmtId="49" fontId="46" fillId="22" borderId="65" xfId="17" applyNumberFormat="1" applyFont="1" applyFill="1" applyBorder="1" applyAlignment="1">
      <alignment horizontal="center" vertical="center" wrapText="1"/>
    </xf>
    <xf numFmtId="49" fontId="46" fillId="22" borderId="63" xfId="17" quotePrefix="1" applyNumberFormat="1" applyFont="1" applyFill="1" applyBorder="1" applyAlignment="1">
      <alignment horizontal="center" vertical="center" wrapText="1"/>
    </xf>
    <xf numFmtId="49" fontId="46" fillId="22" borderId="65" xfId="17" quotePrefix="1" applyNumberFormat="1" applyFont="1" applyFill="1" applyBorder="1" applyAlignment="1">
      <alignment horizontal="center" vertical="center" wrapText="1"/>
    </xf>
    <xf numFmtId="49" fontId="46" fillId="46" borderId="60" xfId="17" quotePrefix="1" applyNumberFormat="1" applyFont="1" applyFill="1" applyBorder="1" applyAlignment="1">
      <alignment horizontal="center" vertical="center" wrapText="1"/>
    </xf>
    <xf numFmtId="49" fontId="46" fillId="46" borderId="61" xfId="17" quotePrefix="1" applyNumberFormat="1" applyFont="1" applyFill="1" applyBorder="1" applyAlignment="1">
      <alignment horizontal="center" vertical="center" wrapText="1"/>
    </xf>
    <xf numFmtId="49" fontId="46" fillId="46" borderId="62" xfId="17" quotePrefix="1" applyNumberFormat="1" applyFont="1" applyFill="1" applyBorder="1" applyAlignment="1">
      <alignment horizontal="center" vertical="center" wrapText="1"/>
    </xf>
    <xf numFmtId="0" fontId="47" fillId="0" borderId="61" xfId="17" applyFont="1" applyBorder="1" applyAlignment="1">
      <alignment vertical="center"/>
    </xf>
    <xf numFmtId="0" fontId="47" fillId="0" borderId="62" xfId="17" applyFont="1" applyBorder="1" applyAlignment="1">
      <alignment vertical="center"/>
    </xf>
    <xf numFmtId="0" fontId="30" fillId="11" borderId="14"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1" fillId="12" borderId="14" xfId="0" applyFont="1" applyFill="1" applyBorder="1" applyAlignment="1">
      <alignment horizontal="left" vertical="center" wrapText="1"/>
    </xf>
    <xf numFmtId="0" fontId="31" fillId="12" borderId="15" xfId="0" applyFont="1" applyFill="1" applyBorder="1" applyAlignment="1">
      <alignment horizontal="left" vertical="center" wrapText="1"/>
    </xf>
    <xf numFmtId="0" fontId="31" fillId="12" borderId="7" xfId="0" applyFont="1" applyFill="1" applyBorder="1" applyAlignment="1">
      <alignment horizontal="left" vertical="center" wrapText="1"/>
    </xf>
    <xf numFmtId="0" fontId="31" fillId="12" borderId="14" xfId="5" applyFont="1" applyFill="1" applyBorder="1" applyAlignment="1">
      <alignment horizontal="left" vertical="center" wrapText="1"/>
    </xf>
    <xf numFmtId="0" fontId="31" fillId="12" borderId="15" xfId="5" applyFont="1" applyFill="1" applyBorder="1" applyAlignment="1">
      <alignment horizontal="left" vertical="center" wrapText="1"/>
    </xf>
    <xf numFmtId="0" fontId="31" fillId="12" borderId="14" xfId="5" applyFont="1" applyFill="1" applyBorder="1" applyAlignment="1">
      <alignment horizontal="center" vertical="center" wrapText="1"/>
    </xf>
    <xf numFmtId="0" fontId="31" fillId="12" borderId="15" xfId="5" applyFont="1" applyFill="1" applyBorder="1" applyAlignment="1">
      <alignment horizontal="center" vertical="center" wrapText="1"/>
    </xf>
    <xf numFmtId="0" fontId="31" fillId="12" borderId="7" xfId="5" applyFont="1" applyFill="1" applyBorder="1" applyAlignment="1">
      <alignment horizontal="center" vertical="center" wrapText="1"/>
    </xf>
    <xf numFmtId="0" fontId="4" fillId="0" borderId="0" xfId="0" applyFont="1" applyAlignment="1">
      <alignment horizontal="right" vertical="top" wrapText="1"/>
    </xf>
    <xf numFmtId="0" fontId="0" fillId="0" borderId="2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0" fillId="0" borderId="27" xfId="0" applyBorder="1" applyAlignment="1" applyProtection="1">
      <alignment horizontal="left" vertical="top"/>
      <protection hidden="1"/>
    </xf>
    <xf numFmtId="0" fontId="0" fillId="0" borderId="0" xfId="0" applyAlignment="1" applyProtection="1">
      <alignment horizontal="left" vertical="top"/>
      <protection hidden="1"/>
    </xf>
    <xf numFmtId="0" fontId="0" fillId="0" borderId="9"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8" xfId="0" applyFont="1" applyBorder="1" applyAlignment="1">
      <alignment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3" fillId="3" borderId="16" xfId="0" applyFont="1" applyFill="1" applyBorder="1" applyAlignment="1" applyProtection="1">
      <alignment horizontal="center" vertical="top" wrapText="1"/>
      <protection locked="0"/>
    </xf>
    <xf numFmtId="9" fontId="4" fillId="4" borderId="14" xfId="0" applyNumberFormat="1" applyFont="1" applyFill="1" applyBorder="1" applyAlignment="1">
      <alignment horizontal="right" vertical="top"/>
    </xf>
    <xf numFmtId="9" fontId="4" fillId="4" borderId="7" xfId="0" applyNumberFormat="1" applyFont="1" applyFill="1" applyBorder="1" applyAlignment="1">
      <alignment horizontal="right" vertical="top"/>
    </xf>
    <xf numFmtId="9" fontId="3" fillId="0" borderId="2" xfId="0" applyNumberFormat="1" applyFont="1" applyBorder="1" applyAlignment="1">
      <alignment vertical="top" wrapText="1"/>
    </xf>
    <xf numFmtId="9" fontId="3" fillId="0" borderId="3" xfId="0" applyNumberFormat="1" applyFont="1" applyBorder="1" applyAlignment="1">
      <alignment vertical="top" wrapText="1"/>
    </xf>
    <xf numFmtId="9" fontId="3" fillId="0" borderId="4" xfId="0" applyNumberFormat="1" applyFont="1" applyBorder="1" applyAlignment="1">
      <alignment vertical="top"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9" fillId="0" borderId="9" xfId="0" applyFont="1" applyBorder="1" applyAlignment="1">
      <alignment vertical="top" wrapText="1"/>
    </xf>
    <xf numFmtId="0" fontId="9" fillId="0" borderId="0" xfId="0" applyFont="1" applyAlignment="1">
      <alignment vertical="top" wrapText="1"/>
    </xf>
    <xf numFmtId="0" fontId="9" fillId="0" borderId="6" xfId="0" applyFont="1" applyBorder="1" applyAlignment="1">
      <alignment vertical="top" wrapText="1"/>
    </xf>
    <xf numFmtId="0" fontId="3" fillId="3" borderId="18" xfId="0" applyFont="1" applyFill="1" applyBorder="1" applyAlignment="1" applyProtection="1">
      <alignment horizontal="left" vertical="top" wrapText="1"/>
      <protection locked="0"/>
    </xf>
    <xf numFmtId="0" fontId="3" fillId="3" borderId="19" xfId="0" applyFont="1" applyFill="1" applyBorder="1" applyAlignment="1" applyProtection="1">
      <alignment horizontal="left" vertical="top" wrapText="1"/>
      <protection locked="0"/>
    </xf>
    <xf numFmtId="0" fontId="3" fillId="3" borderId="20" xfId="0" applyFont="1" applyFill="1" applyBorder="1" applyAlignment="1" applyProtection="1">
      <alignment horizontal="left" vertical="top" wrapText="1"/>
      <protection locked="0"/>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3" fillId="0" borderId="14" xfId="0" applyFont="1" applyBorder="1" applyAlignment="1">
      <alignment vertical="top" wrapText="1"/>
    </xf>
    <xf numFmtId="0" fontId="3" fillId="0" borderId="7" xfId="0" applyFont="1" applyBorder="1" applyAlignment="1">
      <alignment vertical="top" wrapText="1"/>
    </xf>
    <xf numFmtId="0" fontId="4" fillId="5" borderId="14" xfId="0" applyFont="1" applyFill="1" applyBorder="1" applyAlignment="1" applyProtection="1">
      <alignment vertical="top" wrapText="1"/>
      <protection locked="0"/>
    </xf>
    <xf numFmtId="0" fontId="4" fillId="5" borderId="7" xfId="0" applyFont="1" applyFill="1" applyBorder="1" applyAlignment="1" applyProtection="1">
      <alignment vertical="top" wrapText="1"/>
      <protection locked="0"/>
    </xf>
    <xf numFmtId="0" fontId="3" fillId="3" borderId="9" xfId="0" applyFont="1" applyFill="1" applyBorder="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17" fontId="4" fillId="0" borderId="14" xfId="0" applyNumberFormat="1" applyFont="1" applyBorder="1" applyAlignment="1">
      <alignment vertical="top" wrapText="1"/>
    </xf>
    <xf numFmtId="17" fontId="4" fillId="0" borderId="15" xfId="0" applyNumberFormat="1" applyFont="1" applyBorder="1" applyAlignment="1">
      <alignment vertical="top" wrapText="1"/>
    </xf>
    <xf numFmtId="17" fontId="4" fillId="0" borderId="7" xfId="0" applyNumberFormat="1" applyFont="1" applyBorder="1" applyAlignment="1">
      <alignment vertical="top" wrapText="1"/>
    </xf>
    <xf numFmtId="0" fontId="4" fillId="0" borderId="29" xfId="0" applyFont="1" applyBorder="1" applyAlignment="1">
      <alignment horizontal="left"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lignment horizontal="center" vertical="top"/>
    </xf>
    <xf numFmtId="0" fontId="4" fillId="0" borderId="13" xfId="0" applyFont="1" applyBorder="1" applyAlignment="1">
      <alignment horizontal="center" vertical="top"/>
    </xf>
    <xf numFmtId="0" fontId="4" fillId="3" borderId="1" xfId="0" applyFont="1" applyFill="1" applyBorder="1" applyAlignment="1" applyProtection="1">
      <alignment horizontal="center" vertical="center" wrapText="1"/>
      <protection locked="0"/>
    </xf>
    <xf numFmtId="0" fontId="0" fillId="0" borderId="13" xfId="0" applyBorder="1" applyAlignment="1">
      <alignment horizontal="center" vertical="center" wrapText="1"/>
    </xf>
    <xf numFmtId="0" fontId="4" fillId="3" borderId="1" xfId="0" applyFont="1" applyFill="1" applyBorder="1" applyAlignment="1" applyProtection="1">
      <alignment vertical="top" wrapText="1"/>
      <protection locked="0"/>
    </xf>
    <xf numFmtId="0" fontId="0" fillId="0" borderId="13" xfId="0" applyBorder="1" applyAlignment="1">
      <alignment vertical="top" wrapText="1"/>
    </xf>
    <xf numFmtId="0" fontId="27" fillId="0" borderId="9" xfId="0" applyFont="1" applyBorder="1" applyAlignment="1">
      <alignment vertical="top" wrapText="1"/>
    </xf>
    <xf numFmtId="0" fontId="27" fillId="0" borderId="0" xfId="0" applyFont="1" applyAlignment="1">
      <alignment vertical="top" wrapText="1"/>
    </xf>
    <xf numFmtId="0" fontId="27" fillId="0" borderId="6" xfId="0" applyFont="1" applyBorder="1" applyAlignment="1">
      <alignment vertical="top" wrapText="1"/>
    </xf>
    <xf numFmtId="0" fontId="8" fillId="0" borderId="1" xfId="0" applyFont="1" applyBorder="1" applyAlignment="1">
      <alignment horizontal="center" vertical="top" wrapText="1"/>
    </xf>
    <xf numFmtId="0" fontId="8" fillId="0" borderId="13" xfId="0" applyFont="1" applyBorder="1" applyAlignment="1">
      <alignment horizontal="center" vertical="top" wrapText="1"/>
    </xf>
    <xf numFmtId="0" fontId="4" fillId="0" borderId="9" xfId="0" applyFont="1" applyBorder="1" applyAlignment="1">
      <alignment horizontal="left" vertical="top" wrapText="1"/>
    </xf>
    <xf numFmtId="0" fontId="4" fillId="0" borderId="0" xfId="0" applyFont="1" applyAlignment="1">
      <alignment horizontal="left" vertical="top" wrapText="1"/>
    </xf>
    <xf numFmtId="0" fontId="8" fillId="0" borderId="1" xfId="0" applyFont="1" applyBorder="1" applyAlignment="1">
      <alignment horizontal="center" vertical="top"/>
    </xf>
    <xf numFmtId="0" fontId="8" fillId="0" borderId="13" xfId="0" applyFont="1" applyBorder="1" applyAlignment="1">
      <alignment horizontal="center" vertical="top"/>
    </xf>
    <xf numFmtId="0" fontId="4" fillId="3" borderId="9" xfId="0" applyFont="1" applyFill="1" applyBorder="1" applyAlignment="1">
      <alignment horizontal="left" vertical="top" wrapText="1"/>
    </xf>
    <xf numFmtId="0" fontId="4" fillId="3" borderId="0" xfId="0" applyFont="1" applyFill="1" applyAlignment="1">
      <alignment horizontal="left" vertical="top" wrapText="1"/>
    </xf>
    <xf numFmtId="0" fontId="4" fillId="3" borderId="9" xfId="0" applyFont="1" applyFill="1" applyBorder="1" applyAlignment="1" applyProtection="1">
      <alignment horizontal="left" vertical="top" wrapText="1"/>
      <protection locked="0"/>
    </xf>
    <xf numFmtId="0" fontId="4" fillId="3" borderId="0" xfId="0" applyFont="1" applyFill="1" applyAlignment="1" applyProtection="1">
      <alignment horizontal="left" vertical="top" wrapText="1"/>
      <protection locked="0"/>
    </xf>
    <xf numFmtId="0" fontId="4" fillId="0" borderId="29" xfId="0" applyFont="1" applyBorder="1" applyAlignment="1">
      <alignment vertical="top" wrapText="1"/>
    </xf>
    <xf numFmtId="0" fontId="8" fillId="0" borderId="16" xfId="0" applyFont="1" applyBorder="1" applyAlignment="1">
      <alignment horizontal="center" vertical="top" wrapText="1"/>
    </xf>
    <xf numFmtId="0" fontId="8" fillId="0" borderId="16" xfId="0" applyFont="1" applyBorder="1" applyAlignment="1">
      <alignment horizontal="center"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3" fillId="3" borderId="21" xfId="0" applyFont="1" applyFill="1" applyBorder="1" applyAlignment="1">
      <alignment horizontal="left" vertical="top" wrapText="1"/>
    </xf>
    <xf numFmtId="0" fontId="3" fillId="3" borderId="22" xfId="0" applyFont="1" applyFill="1" applyBorder="1" applyAlignment="1">
      <alignment horizontal="left" vertical="top" wrapText="1"/>
    </xf>
    <xf numFmtId="0" fontId="3" fillId="3" borderId="23" xfId="0" applyFont="1" applyFill="1" applyBorder="1" applyAlignment="1">
      <alignment horizontal="left" vertical="top" wrapText="1"/>
    </xf>
    <xf numFmtId="0" fontId="3" fillId="3" borderId="27" xfId="0" applyFont="1" applyFill="1" applyBorder="1" applyAlignment="1">
      <alignment horizontal="left" vertical="top" wrapText="1"/>
    </xf>
    <xf numFmtId="0" fontId="3" fillId="3" borderId="0" xfId="0" applyFont="1" applyFill="1" applyAlignment="1">
      <alignment horizontal="left" vertical="top" wrapText="1"/>
    </xf>
    <xf numFmtId="0" fontId="3" fillId="3" borderId="28" xfId="0" applyFont="1" applyFill="1" applyBorder="1" applyAlignment="1">
      <alignment horizontal="left" vertical="top" wrapText="1"/>
    </xf>
    <xf numFmtId="0" fontId="8" fillId="0" borderId="4" xfId="0" applyFont="1" applyBorder="1" applyAlignment="1">
      <alignment horizontal="center" vertical="top" wrapText="1"/>
    </xf>
    <xf numFmtId="0" fontId="8" fillId="0" borderId="8" xfId="0" applyFont="1" applyBorder="1" applyAlignment="1">
      <alignment horizontal="center" vertical="top" wrapText="1"/>
    </xf>
    <xf numFmtId="0" fontId="4" fillId="0" borderId="4" xfId="0" applyFont="1" applyBorder="1" applyAlignment="1">
      <alignment horizontal="left" vertical="center"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4" fillId="0" borderId="14" xfId="0" applyFont="1" applyBorder="1" applyAlignment="1">
      <alignment vertical="top"/>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4" fillId="0" borderId="17" xfId="0" applyFont="1" applyBorder="1" applyAlignment="1">
      <alignment vertical="top" wrapText="1"/>
    </xf>
    <xf numFmtId="0" fontId="4" fillId="0" borderId="15" xfId="0" applyFont="1" applyBorder="1" applyAlignment="1">
      <alignment vertical="top"/>
    </xf>
    <xf numFmtId="0" fontId="4" fillId="0" borderId="7" xfId="0" applyFont="1" applyBorder="1" applyAlignment="1">
      <alignment vertical="top"/>
    </xf>
    <xf numFmtId="0" fontId="8" fillId="0" borderId="1" xfId="0" applyFont="1" applyBorder="1" applyAlignment="1">
      <alignment vertical="top" wrapText="1"/>
    </xf>
    <xf numFmtId="0" fontId="8" fillId="0" borderId="5" xfId="0" applyFont="1" applyBorder="1" applyAlignment="1">
      <alignment vertical="top" wrapText="1"/>
    </xf>
    <xf numFmtId="0" fontId="8" fillId="0" borderId="13" xfId="0" applyFont="1" applyBorder="1" applyAlignment="1">
      <alignment vertical="top" wrapText="1"/>
    </xf>
    <xf numFmtId="0" fontId="4" fillId="0" borderId="3" xfId="0" applyFont="1" applyBorder="1" applyAlignment="1">
      <alignment horizontal="left" vertical="center" wrapText="1"/>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7" xfId="0" applyFont="1" applyBorder="1" applyAlignment="1">
      <alignment vertical="top" wrapText="1"/>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0" fontId="3" fillId="0" borderId="7" xfId="0" applyFont="1" applyBorder="1" applyAlignment="1">
      <alignment vertical="top"/>
    </xf>
    <xf numFmtId="0" fontId="12" fillId="0" borderId="6" xfId="0" applyFont="1" applyBorder="1" applyAlignment="1">
      <alignment horizontal="left" vertical="center" wrapText="1"/>
    </xf>
    <xf numFmtId="0" fontId="3" fillId="0" borderId="8" xfId="0" applyFont="1" applyBorder="1" applyAlignment="1">
      <alignment horizontal="left" vertical="center"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7" xfId="0" applyFont="1" applyBorder="1" applyAlignment="1">
      <alignment horizontal="center"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8" xfId="0" applyFont="1" applyFill="1" applyBorder="1" applyAlignment="1">
      <alignment horizontal="left" vertical="top" wrapText="1"/>
    </xf>
    <xf numFmtId="0" fontId="3" fillId="0" borderId="1" xfId="0" applyFont="1" applyBorder="1" applyAlignment="1">
      <alignment vertical="top" wrapText="1"/>
    </xf>
    <xf numFmtId="0" fontId="3" fillId="0" borderId="5" xfId="0" applyFont="1" applyBorder="1" applyAlignment="1">
      <alignment vertical="top" wrapText="1"/>
    </xf>
    <xf numFmtId="0" fontId="3" fillId="0" borderId="13" xfId="0" applyFont="1" applyBorder="1" applyAlignment="1">
      <alignment vertical="top" wrapText="1"/>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7" xfId="0" applyFont="1" applyFill="1" applyBorder="1" applyAlignment="1" applyProtection="1">
      <alignment horizontal="left" vertical="top"/>
      <protection locked="0"/>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vertical="top"/>
    </xf>
    <xf numFmtId="0" fontId="4" fillId="0" borderId="17" xfId="0" applyFont="1" applyBorder="1" applyAlignment="1">
      <alignment vertical="top"/>
    </xf>
    <xf numFmtId="0" fontId="4" fillId="0" borderId="1"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6" xfId="0" applyFont="1" applyBorder="1" applyAlignment="1">
      <alignment horizontal="center" vertical="top" wrapText="1"/>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13" xfId="0" applyFont="1" applyBorder="1" applyAlignment="1">
      <alignment horizontal="center" vertical="center"/>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4" fillId="0" borderId="14" xfId="0" applyFont="1" applyBorder="1" applyAlignment="1" applyProtection="1">
      <alignment vertical="top" wrapText="1"/>
      <protection locked="0"/>
    </xf>
    <xf numFmtId="0" fontId="4" fillId="0" borderId="15" xfId="0" applyFont="1" applyBorder="1" applyAlignment="1" applyProtection="1">
      <alignment vertical="top" wrapText="1"/>
      <protection locked="0"/>
    </xf>
    <xf numFmtId="0" fontId="4" fillId="0" borderId="7" xfId="0" applyFont="1" applyBorder="1" applyAlignment="1" applyProtection="1">
      <alignment vertical="top" wrapText="1"/>
      <protection locked="0"/>
    </xf>
  </cellXfs>
  <cellStyles count="19">
    <cellStyle name="Buena" xfId="1" builtinId="26"/>
    <cellStyle name="Hipervínculo" xfId="2" builtinId="8"/>
    <cellStyle name="Millares" xfId="4" builtinId="3"/>
    <cellStyle name="Millares [0]" xfId="7" builtinId="6"/>
    <cellStyle name="Millares [0] 2" xfId="12"/>
    <cellStyle name="Millares 2" xfId="11"/>
    <cellStyle name="Millares 2 3" xfId="6"/>
    <cellStyle name="Millares 3" xfId="14"/>
    <cellStyle name="Millares 4" xfId="15"/>
    <cellStyle name="Millares 5" xfId="9"/>
    <cellStyle name="Millares 6" xfId="10"/>
    <cellStyle name="Millares 7" xfId="8"/>
    <cellStyle name="Millares 7 2" xfId="13"/>
    <cellStyle name="Normal" xfId="0" builtinId="0"/>
    <cellStyle name="Normal 2" xfId="5"/>
    <cellStyle name="Normal 3" xfId="17"/>
    <cellStyle name="Porcentaje" xfId="3" builtinId="5"/>
    <cellStyle name="Porcentaje 2" xfId="18"/>
    <cellStyle name="Porcentaje 4" xfId="16"/>
  </cellStyles>
  <dxfs count="1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s>
  <tableStyles count="0" defaultTableStyle="TableStyleMedium2" defaultPivotStyle="PivotStyleLight16"/>
  <colors>
    <mruColors>
      <color rgb="FF66FF66"/>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t>
        <a:bodyPr/>
        <a:lstStyle/>
        <a:p>
          <a:endParaRPr lang="es-CO"/>
        </a:p>
      </dgm:t>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t>
        <a:bodyPr/>
        <a:lstStyle/>
        <a:p>
          <a:endParaRPr lang="es-CO"/>
        </a:p>
      </dgm:t>
    </dgm:pt>
    <dgm:pt modelId="{E6E34545-7A70-45F5-AF30-5300FEAF0CB4}" type="pres">
      <dgm:prSet presAssocID="{2CB7F8B1-2637-4408-9185-3A95A2E4D4D4}" presName="parentText" presStyleLbl="node1" presStyleIdx="0" presStyleCnt="7">
        <dgm:presLayoutVars>
          <dgm:chMax val="0"/>
          <dgm:bulletEnabled val="1"/>
        </dgm:presLayoutVars>
      </dgm:prSet>
      <dgm:spPr/>
      <dgm:t>
        <a:bodyPr/>
        <a:lstStyle/>
        <a:p>
          <a:endParaRPr lang="es-CO"/>
        </a:p>
      </dgm:t>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t>
        <a:bodyPr/>
        <a:lstStyle/>
        <a:p>
          <a:endParaRPr lang="es-CO"/>
        </a:p>
      </dgm:t>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t>
        <a:bodyPr/>
        <a:lstStyle/>
        <a:p>
          <a:endParaRPr lang="es-CO"/>
        </a:p>
      </dgm:t>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t>
        <a:bodyPr/>
        <a:lstStyle/>
        <a:p>
          <a:endParaRPr lang="es-CO"/>
        </a:p>
      </dgm:t>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t>
        <a:bodyPr/>
        <a:lstStyle/>
        <a:p>
          <a:endParaRPr lang="es-CO"/>
        </a:p>
      </dgm:t>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t>
        <a:bodyPr/>
        <a:lstStyle/>
        <a:p>
          <a:endParaRPr lang="es-CO"/>
        </a:p>
      </dgm:t>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t>
        <a:bodyPr/>
        <a:lstStyle/>
        <a:p>
          <a:endParaRPr lang="es-CO"/>
        </a:p>
      </dgm:t>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t>
        <a:bodyPr/>
        <a:lstStyle/>
        <a:p>
          <a:endParaRPr lang="es-CO"/>
        </a:p>
      </dgm:t>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t>
        <a:bodyPr/>
        <a:lstStyle/>
        <a:p>
          <a:endParaRPr lang="es-CO"/>
        </a:p>
      </dgm:t>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t>
        <a:bodyPr/>
        <a:lstStyle/>
        <a:p>
          <a:endParaRPr lang="es-CO"/>
        </a:p>
      </dgm:t>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t>
        <a:bodyPr/>
        <a:lstStyle/>
        <a:p>
          <a:endParaRPr lang="es-CO"/>
        </a:p>
      </dgm:t>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t>
        <a:bodyPr/>
        <a:lstStyle/>
        <a:p>
          <a:endParaRPr lang="es-CO"/>
        </a:p>
      </dgm:t>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t>
        <a:bodyPr/>
        <a:lstStyle/>
        <a:p>
          <a:endParaRPr lang="es-CO"/>
        </a:p>
      </dgm:t>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t>
        <a:bodyPr/>
        <a:lstStyle/>
        <a:p>
          <a:endParaRPr lang="es-CO"/>
        </a:p>
      </dgm:t>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t>
        <a:bodyPr/>
        <a:lstStyle/>
        <a:p>
          <a:endParaRPr lang="es-CO"/>
        </a:p>
      </dgm:t>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t>
        <a:bodyPr/>
        <a:lstStyle/>
        <a:p>
          <a:endParaRPr lang="es-CO"/>
        </a:p>
      </dgm:t>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t>
        <a:bodyPr/>
        <a:lstStyle/>
        <a:p>
          <a:endParaRPr lang="es-CO"/>
        </a:p>
      </dgm:t>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t>
        <a:bodyPr/>
        <a:lstStyle/>
        <a:p>
          <a:endParaRPr lang="es-CO"/>
        </a:p>
      </dgm:t>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t>
        <a:bodyPr/>
        <a:lstStyle/>
        <a:p>
          <a:endParaRPr lang="es-CO"/>
        </a:p>
      </dgm:t>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t>
        <a:bodyPr/>
        <a:lstStyle/>
        <a:p>
          <a:endParaRPr lang="es-CO"/>
        </a:p>
      </dgm:t>
    </dgm:pt>
  </dgm:ptLst>
  <dgm:cxnLst>
    <dgm:cxn modelId="{67B9198E-5C25-4F67-B9CB-41843459D987}" type="presOf" srcId="{C8F6D009-A118-4555-A677-CBA61BF6F0D5}" destId="{BEC4ABD6-0E89-47BE-B95E-5D5D71B73DA1}" srcOrd="0" destOrd="2" presId="urn:microsoft.com/office/officeart/2005/8/layout/list1"/>
    <dgm:cxn modelId="{A43DF155-EDED-4348-8849-3FB54F8752F4}" srcId="{0E652C00-4F5E-4225-B0DE-1E16E467F052}" destId="{FDC96EDD-2D2E-424F-9793-6C67FBB810DD}" srcOrd="0" destOrd="0" parTransId="{C0F088F2-D816-422B-A598-8465D4C16265}" sibTransId="{D85BC74A-2C14-4596-B306-9B50E9FDF986}"/>
    <dgm:cxn modelId="{B2CEC7D1-0EF3-43E8-A8C4-CA91F9F8B2C6}" srcId="{717ECC8B-6813-4A27-9DC1-A0349E570257}" destId="{320F87EC-CED1-4210-8A86-B8F3B4014BD7}" srcOrd="2" destOrd="0" parTransId="{3E66B59C-1F4A-4068-B805-1D0FD9DF5EB9}" sibTransId="{9C227A2C-DB8C-4F82-9033-31A1665D63A3}"/>
    <dgm:cxn modelId="{39949B06-98CA-426A-A4A6-EA0210D2BAFD}" type="presOf" srcId="{DCD48D7A-4B03-4423-8CB5-5C5D79405805}" destId="{1DEF4F99-0D10-4E54-A0BF-F9524F830250}"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F5B463A9-1C63-49AF-836D-039CF3C3D222}" type="presOf" srcId="{CF379588-8D99-446E-9DA3-7D31B1AC5467}" destId="{06ACE6F8-0FA9-44AE-BA37-8718AB57D422}" srcOrd="0" destOrd="0" presId="urn:microsoft.com/office/officeart/2005/8/layout/list1"/>
    <dgm:cxn modelId="{3C68E3D5-A553-46EE-8B80-FB51032E4800}" type="presOf" srcId="{2CB7F8B1-2637-4408-9185-3A95A2E4D4D4}" destId="{545F5493-E5D3-45CD-9407-AD3146FF5B66}" srcOrd="0" destOrd="0" presId="urn:microsoft.com/office/officeart/2005/8/layout/list1"/>
    <dgm:cxn modelId="{10D3294F-F4FE-4252-AA72-A2630A60CBB1}" type="presOf" srcId="{CF4F553E-C1BC-4366-8D1F-2538C739F34D}" destId="{72C2FA48-4513-4CD5-8267-CAFA222E040F}" srcOrd="1" destOrd="0" presId="urn:microsoft.com/office/officeart/2005/8/layout/list1"/>
    <dgm:cxn modelId="{6E3F353F-69A6-470A-90DF-68C45401EC8C}" type="presOf" srcId="{CF4F553E-C1BC-4366-8D1F-2538C739F34D}" destId="{96E24B0A-8F37-4257-B7B3-645FB1DA6A85}" srcOrd="0" destOrd="0" presId="urn:microsoft.com/office/officeart/2005/8/layout/list1"/>
    <dgm:cxn modelId="{56BF2655-C497-4B6B-B54F-A5D6AF560C8B}" type="presOf" srcId="{6632AE42-4A3F-47A4-991F-05B67D9E15A4}" destId="{FA8C06B1-BAA1-4827-A601-D14B18466DB6}" srcOrd="0" destOrd="1" presId="urn:microsoft.com/office/officeart/2005/8/layout/list1"/>
    <dgm:cxn modelId="{C0D90BEF-14F4-437B-ACE6-480F7ECC25D2}" type="presOf" srcId="{38D6ECF3-9DC0-4FA5-AA85-AE678086D86F}" destId="{0BB363C2-1000-4D63-89E1-75C121258685}" srcOrd="1"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DF270C1B-8DAC-4DC2-9C2B-404524166343}" srcId="{DCD48D7A-4B03-4423-8CB5-5C5D79405805}" destId="{2CB7F8B1-2637-4408-9185-3A95A2E4D4D4}" srcOrd="0" destOrd="0" parTransId="{64144A9E-10F1-4862-BFC7-09D5896ACB2E}" sibTransId="{1E2C00AA-92AD-4DFD-ADBE-9EE00E1BF72B}"/>
    <dgm:cxn modelId="{B6A3FAA2-72B7-4EDF-9F2B-07756CCFD145}" type="presOf" srcId="{0C7E1392-1B2E-4473-98A3-7DB95B0F3E41}" destId="{3BC1BA34-3099-48F7-ADCC-C59CA8F05523}" srcOrd="0" destOrd="3" presId="urn:microsoft.com/office/officeart/2005/8/layout/list1"/>
    <dgm:cxn modelId="{6C6EB5FC-FF88-485A-AB17-1DEBD14B1B4D}" srcId="{717ECC8B-6813-4A27-9DC1-A0349E570257}" destId="{34106E7C-5D09-4727-92DE-E55E74AC51EE}" srcOrd="4" destOrd="0" parTransId="{9975E2E8-9436-4F43-A130-25EADB8F15E6}" sibTransId="{55FD3231-A594-44A3-9758-E80BFF642EBF}"/>
    <dgm:cxn modelId="{390B20E6-A9D0-40A0-91E1-C0FE58040D6E}" type="presOf" srcId="{260FD557-A6C6-4FE3-8993-4A56E5810063}" destId="{35D5CD7D-3A20-4EB8-B442-65E54571D39E}" srcOrd="0" destOrd="3" presId="urn:microsoft.com/office/officeart/2005/8/layout/list1"/>
    <dgm:cxn modelId="{B83F70F1-0D48-4D91-8D66-89823BD64B2E}" type="presOf" srcId="{0E652C00-4F5E-4225-B0DE-1E16E467F052}" destId="{C7C02459-324F-4CBA-B9A7-D10266029FAC}" srcOrd="0" destOrd="0" presId="urn:microsoft.com/office/officeart/2005/8/layout/list1"/>
    <dgm:cxn modelId="{A8694B9B-DC05-4BB0-A409-CBB61FB7F639}" srcId="{2CB7F8B1-2637-4408-9185-3A95A2E4D4D4}" destId="{789B5BC8-288B-4DDA-AB25-039F66BEA3B1}" srcOrd="1" destOrd="0" parTransId="{20DF2F84-B159-462C-A073-B863B19CCFA9}" sibTransId="{F75FF99A-F150-48D0-B60B-5CB30D5A0E5A}"/>
    <dgm:cxn modelId="{C7759BAB-9FB4-42A6-99DA-5E5775983911}" type="presOf" srcId="{C14DAE80-C9AD-4DF2-AB00-76A03871C660}" destId="{4EFCDA67-9C44-44DD-A910-D775D3C6B542}" srcOrd="0" destOrd="0"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A2827875-87B0-4C3D-9E40-622962BC691D}" srcId="{DCD48D7A-4B03-4423-8CB5-5C5D79405805}" destId="{8069E184-766F-4E8B-A1E8-51EDBCF8B787}" srcOrd="1" destOrd="0" parTransId="{F64789F9-D1CE-4AFA-889E-41DC5016CFAB}" sibTransId="{93F1D987-E557-4E03-8C29-D08B5E8AAD1B}"/>
    <dgm:cxn modelId="{72240C85-9D5C-458C-B319-EA4B04B6FA8A}" srcId="{D67F9A5A-5E88-44A1-939C-135CE3AF4041}" destId="{51776FAA-A67F-43C9-93A9-09460B1195D0}" srcOrd="2" destOrd="0" parTransId="{F49DC0A9-8665-4ADA-A379-AC107454A3ED}" sibTransId="{C8B4DFF5-5087-4292-AE4B-32507D166EBF}"/>
    <dgm:cxn modelId="{6E1DD283-6A02-4C7B-967E-43E4F2241590}" srcId="{2CB7F8B1-2637-4408-9185-3A95A2E4D4D4}" destId="{D49A736D-D090-4C3F-B7C8-90E12189F4E6}" srcOrd="0" destOrd="0" parTransId="{6CB8211D-3027-42B8-8E1D-7F7CC0C2C2AF}" sibTransId="{085597EB-8A00-4F32-B9FE-6AE8F6AD66DB}"/>
    <dgm:cxn modelId="{86BCD402-AC25-4EFC-9A1D-FA632AC7B6B7}" type="presOf" srcId="{D67F9A5A-5E88-44A1-939C-135CE3AF4041}" destId="{514BAA5A-25A1-407B-9E98-4F585743FC17}" srcOrd="1" destOrd="0" presId="urn:microsoft.com/office/officeart/2005/8/layout/list1"/>
    <dgm:cxn modelId="{DB12D2DB-01C4-4C72-B613-D8E0FA85016F}" type="presOf" srcId="{D67F9A5A-5E88-44A1-939C-135CE3AF4041}" destId="{3B8B29A2-8F27-4747-815F-4C192BC39EFB}" srcOrd="0" destOrd="0" presId="urn:microsoft.com/office/officeart/2005/8/layout/list1"/>
    <dgm:cxn modelId="{23E9C680-B431-4473-9AF5-E1D6CFC8BC2E}" type="presOf" srcId="{98B28FD7-1DA8-4B1D-A743-BD64C0AAE85A}" destId="{35D5CD7D-3A20-4EB8-B442-65E54571D39E}" srcOrd="0" destOrd="2" presId="urn:microsoft.com/office/officeart/2005/8/layout/list1"/>
    <dgm:cxn modelId="{09C94807-2443-4E06-A6A2-8ACA048AF36F}" type="presOf" srcId="{0E652C00-4F5E-4225-B0DE-1E16E467F052}" destId="{4E9F94DE-8CF1-4FE7-9A6B-53CB416743FC}" srcOrd="1" destOrd="0" presId="urn:microsoft.com/office/officeart/2005/8/layout/list1"/>
    <dgm:cxn modelId="{228A001C-DFEF-4BA8-8945-6B052FD3DB06}" srcId="{DCD48D7A-4B03-4423-8CB5-5C5D79405805}" destId="{38D6ECF3-9DC0-4FA5-AA85-AE678086D86F}" srcOrd="6" destOrd="0" parTransId="{CA07B11D-A281-4474-956D-CE017D55096D}" sibTransId="{23F1DCF5-3AF5-46F5-8EBA-1B227FFDA68A}"/>
    <dgm:cxn modelId="{FAE50C2E-D4BD-46F3-ACBD-9DE02637A7D6}" srcId="{CF4F553E-C1BC-4366-8D1F-2538C739F34D}" destId="{C14DAE80-C9AD-4DF2-AB00-76A03871C660}" srcOrd="0" destOrd="0" parTransId="{1B35EC25-3A5D-44C3-8EC6-1F67B5E94F65}" sibTransId="{EB3C29DE-5BFD-45F2-B15E-ED5B03F68740}"/>
    <dgm:cxn modelId="{49B31584-FEF4-4442-B336-882A9C197EAC}" type="presOf" srcId="{92E8A65F-F99F-488E-AF0A-565C72278797}" destId="{77262FC2-D56C-47EC-A6D3-390D5DF0E708}" srcOrd="0" destOrd="1" presId="urn:microsoft.com/office/officeart/2005/8/layout/list1"/>
    <dgm:cxn modelId="{CBF95272-9C66-408A-9CF3-C7F12DD60BBE}" srcId="{CF4F553E-C1BC-4366-8D1F-2538C739F34D}" destId="{2DDC3C6B-EB89-41BC-9626-2C8602AFD180}" srcOrd="2" destOrd="0" parTransId="{8CA01F60-749A-4F13-A5F9-52959A1E5ACD}" sibTransId="{4EF9A5D6-D9ED-4637-A11E-A0AF0603FCE7}"/>
    <dgm:cxn modelId="{64B9461D-EAC6-4AD6-8946-7E802054283C}" srcId="{D67F9A5A-5E88-44A1-939C-135CE3AF4041}" destId="{CF379588-8D99-446E-9DA3-7D31B1AC5467}" srcOrd="0" destOrd="0" parTransId="{C53496FF-16AA-4B86-9A97-C210D3425615}" sibTransId="{FA04A515-77A5-47E1-9A21-427002F75BBD}"/>
    <dgm:cxn modelId="{A78FA5E5-A2BA-4B5D-B58A-F79B8B58EBA0}" type="presOf" srcId="{2DDC3C6B-EB89-41BC-9626-2C8602AFD180}" destId="{4EFCDA67-9C44-44DD-A910-D775D3C6B542}" srcOrd="0" destOrd="2" presId="urn:microsoft.com/office/officeart/2005/8/layout/list1"/>
    <dgm:cxn modelId="{01DF30FD-85F5-4932-8A85-620FE2B1C5CA}" type="presOf" srcId="{38D6ECF3-9DC0-4FA5-AA85-AE678086D86F}" destId="{A03587EF-2C72-4284-B879-B71BE0640BA4}" srcOrd="0" destOrd="0"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62C6A6A5-51AF-43F3-B103-5345821FAFEE}" srcId="{0E652C00-4F5E-4225-B0DE-1E16E467F052}" destId="{E9D3C62B-362B-44C9-A42A-154B9DBAE91C}" srcOrd="2" destOrd="0" parTransId="{C9AEF7BE-B561-478B-BAC4-CA5215113050}" sibTransId="{FFF495EB-AA84-4FB0-A607-B67EEC28EFF6}"/>
    <dgm:cxn modelId="{91767749-E65F-449F-BD07-C9B78444673B}" type="presOf" srcId="{8069E184-766F-4E8B-A1E8-51EDBCF8B787}" destId="{C4175353-957F-4B0A-882A-9D65932C4C45}" srcOrd="1" destOrd="0" presId="urn:microsoft.com/office/officeart/2005/8/layout/list1"/>
    <dgm:cxn modelId="{4C31F452-932E-4B3C-A24D-BB317566F188}" type="presOf" srcId="{08ED7DEB-8B98-40A9-9699-ACCFB829DBE2}" destId="{BEC4ABD6-0E89-47BE-B95E-5D5D71B73DA1}" srcOrd="0" destOrd="1" presId="urn:microsoft.com/office/officeart/2005/8/layout/list1"/>
    <dgm:cxn modelId="{E56EA914-32FC-4F01-AE21-F02AF3BAD451}" srcId="{DCD48D7A-4B03-4423-8CB5-5C5D79405805}" destId="{D67F9A5A-5E88-44A1-939C-135CE3AF4041}" srcOrd="3" destOrd="0" parTransId="{147BBB2B-EBFD-43A6-B289-2DA32B306280}" sibTransId="{5865B6AA-9A9D-46ED-B85D-61C566F91B2B}"/>
    <dgm:cxn modelId="{3673614D-FB3D-4D84-B4D5-C1C1FEB93DC6}" srcId="{D67F9A5A-5E88-44A1-939C-135CE3AF4041}" destId="{477C0414-2F64-47A3-9675-FE2E4F8C4A83}" srcOrd="3" destOrd="0" parTransId="{211F0972-F335-42CF-8898-D6AD2F24BDF4}" sibTransId="{8249E61B-7B06-45EC-87B1-4624BFB202FC}"/>
    <dgm:cxn modelId="{44A4FD8C-B715-4763-9E06-4EBC7F129D51}" srcId="{CF4F553E-C1BC-4366-8D1F-2538C739F34D}" destId="{FB36F50F-332B-41E1-B818-61C37228C5CE}" srcOrd="1" destOrd="0" parTransId="{1B402964-486C-4D88-B25B-BFBD3B7CB725}" sibTransId="{2F60FF59-EE81-4035-BCD0-A1A526D6233D}"/>
    <dgm:cxn modelId="{F617155A-07A4-40C6-B9E5-6E820D5C2875}" srcId="{38D6ECF3-9DC0-4FA5-AA85-AE678086D86F}" destId="{29647C36-AD56-480A-B274-AFD85B8257AC}" srcOrd="2" destOrd="0" parTransId="{4CAE2BE9-B466-4310-88AB-C78BF23B7371}" sibTransId="{8B89DDF0-7CED-46E8-8F61-0B17466698FF}"/>
    <dgm:cxn modelId="{3BF7423E-3DB0-4A87-A18C-2FC41867B2B4}" srcId="{8069E184-766F-4E8B-A1E8-51EDBCF8B787}" destId="{4E33CAE3-BFA7-460A-ADA1-9740AF500CD1}" srcOrd="0" destOrd="0" parTransId="{9DB4B8DC-C792-4F88-B9F0-3F8C466B68ED}" sibTransId="{4C4701A6-649F-4B75-8728-83D55A5A5663}"/>
    <dgm:cxn modelId="{0CAB92AF-DA12-4A69-B592-C211B1603E46}" type="presOf" srcId="{F2356AF9-BEEF-4B44-8D11-6960D17AF916}" destId="{06ACE6F8-0FA9-44AE-BA37-8718AB57D422}" srcOrd="0" destOrd="1" presId="urn:microsoft.com/office/officeart/2005/8/layout/list1"/>
    <dgm:cxn modelId="{9515F576-512B-4C41-9F47-3A4D09823602}" type="presOf" srcId="{FDC96EDD-2D2E-424F-9793-6C67FBB810DD}" destId="{FA8C06B1-BAA1-4827-A601-D14B18466DB6}" srcOrd="0" destOrd="0" presId="urn:microsoft.com/office/officeart/2005/8/layout/list1"/>
    <dgm:cxn modelId="{E7A50992-9030-47C1-8E52-A2B896656A51}" type="presOf" srcId="{34106E7C-5D09-4727-92DE-E55E74AC51EE}" destId="{3BC1BA34-3099-48F7-ADCC-C59CA8F05523}" srcOrd="0" destOrd="4" presId="urn:microsoft.com/office/officeart/2005/8/layout/list1"/>
    <dgm:cxn modelId="{3F409E34-BFAE-45FE-A027-0ABAC99B8A84}" srcId="{38D6ECF3-9DC0-4FA5-AA85-AE678086D86F}" destId="{92E8A65F-F99F-488E-AF0A-565C72278797}" srcOrd="1" destOrd="0" parTransId="{66E38FC8-C18A-470F-A205-AE2365A9DE78}" sibTransId="{B79C7341-D380-4E6F-A6A3-3F12A56CC081}"/>
    <dgm:cxn modelId="{E88658A0-3BDE-454E-A794-8505E55DC105}" srcId="{DCD48D7A-4B03-4423-8CB5-5C5D79405805}" destId="{CF4F553E-C1BC-4366-8D1F-2538C739F34D}" srcOrd="4" destOrd="0" parTransId="{87729DE7-2820-4664-B237-4A95FE1E2F12}" sibTransId="{94558B0E-E006-4B59-8C83-CEE5060F8235}"/>
    <dgm:cxn modelId="{14F3064A-33D5-4A50-A94F-22EB976BA100}" type="presOf" srcId="{789B5BC8-288B-4DDA-AB25-039F66BEA3B1}" destId="{35D5CD7D-3A20-4EB8-B442-65E54571D39E}" srcOrd="0" destOrd="1" presId="urn:microsoft.com/office/officeart/2005/8/layout/list1"/>
    <dgm:cxn modelId="{66F80349-2184-4386-B9D3-B0DFF876CB84}" srcId="{0E652C00-4F5E-4225-B0DE-1E16E467F052}" destId="{6632AE42-4A3F-47A4-991F-05B67D9E15A4}" srcOrd="1" destOrd="0" parTransId="{EA24CD28-DA30-489E-812A-8D006AD804E2}" sibTransId="{413A0DEC-0431-4D0A-9CF6-9F28DD448962}"/>
    <dgm:cxn modelId="{AF2C1DF1-0917-4A12-AD82-87034F4AA6BD}" srcId="{717ECC8B-6813-4A27-9DC1-A0349E570257}" destId="{4A7800C9-7D3D-4FD3-A0C8-055EA574631C}" srcOrd="1" destOrd="0" parTransId="{E88C88D6-C647-44AC-8F34-1CDDF9D56EAE}" sibTransId="{011E79F5-D3D2-430D-AB83-E364AA563D3C}"/>
    <dgm:cxn modelId="{ABA36423-4ADF-4BC2-B9D4-4551354C1F10}" srcId="{DCD48D7A-4B03-4423-8CB5-5C5D79405805}" destId="{0E652C00-4F5E-4225-B0DE-1E16E467F052}" srcOrd="5" destOrd="0" parTransId="{6B4BA892-C7B2-40DA-97EE-3611027033ED}" sibTransId="{49049186-C28C-4B3F-A75E-A3310F719D8A}"/>
    <dgm:cxn modelId="{794DEFC0-78A8-4CCF-9C86-48F2FE94417F}" type="presOf" srcId="{90932CD4-98AF-4D20-B3A5-3F4217DAB33C}" destId="{3BC1BA34-3099-48F7-ADCC-C59CA8F05523}" srcOrd="0" destOrd="0" presId="urn:microsoft.com/office/officeart/2005/8/layout/list1"/>
    <dgm:cxn modelId="{D226197F-CE6B-4E8C-8CDE-97726899C8AD}" type="presOf" srcId="{FB36F50F-332B-41E1-B818-61C37228C5CE}" destId="{4EFCDA67-9C44-44DD-A910-D775D3C6B542}" srcOrd="0" destOrd="1" presId="urn:microsoft.com/office/officeart/2005/8/layout/list1"/>
    <dgm:cxn modelId="{5B0414C2-1728-459D-B4A9-EB7A43C62996}" type="presOf" srcId="{717ECC8B-6813-4A27-9DC1-A0349E570257}" destId="{9702987D-0E97-487C-8CCC-50D92DF3BD3E}" srcOrd="0" destOrd="0" presId="urn:microsoft.com/office/officeart/2005/8/layout/list1"/>
    <dgm:cxn modelId="{478F5893-B289-4B36-A04A-A02DEA40ACC3}" srcId="{8069E184-766F-4E8B-A1E8-51EDBCF8B787}" destId="{FFA71FF0-2ACD-4163-B043-1EB367B6C2B1}" srcOrd="3" destOrd="0" parTransId="{201802FC-6167-42F1-933E-394845600453}" sibTransId="{B39A6FB6-B160-47AD-A274-EF0DD243C32D}"/>
    <dgm:cxn modelId="{E923423D-189A-42D5-94FC-8E1EFC60C632}" type="presOf" srcId="{D49A736D-D090-4C3F-B7C8-90E12189F4E6}" destId="{35D5CD7D-3A20-4EB8-B442-65E54571D39E}" srcOrd="0" destOrd="0" presId="urn:microsoft.com/office/officeart/2005/8/layout/list1"/>
    <dgm:cxn modelId="{31AA144C-E5AF-41D8-8CB7-8A2D48F310D0}" type="presOf" srcId="{51776FAA-A67F-43C9-93A9-09460B1195D0}" destId="{06ACE6F8-0FA9-44AE-BA37-8718AB57D422}" srcOrd="0" destOrd="2" presId="urn:microsoft.com/office/officeart/2005/8/layout/list1"/>
    <dgm:cxn modelId="{B7FD2BA0-B80B-4666-86AB-099B7EA06341}" type="presOf" srcId="{E9D3C62B-362B-44C9-A42A-154B9DBAE91C}" destId="{FA8C06B1-BAA1-4827-A601-D14B18466DB6}" srcOrd="0" destOrd="2" presId="urn:microsoft.com/office/officeart/2005/8/layout/list1"/>
    <dgm:cxn modelId="{5EFBE1C5-BAFA-4A4F-97DC-DCEC94D3930E}" type="presOf" srcId="{7AD3D970-693A-46CB-93F2-8719BB4A2138}" destId="{77262FC2-D56C-47EC-A6D3-390D5DF0E708}" srcOrd="0" destOrd="0" presId="urn:microsoft.com/office/officeart/2005/8/layout/list1"/>
    <dgm:cxn modelId="{F0618CD4-2AC3-47D0-8F11-BACCD701AD92}" type="presOf" srcId="{717ECC8B-6813-4A27-9DC1-A0349E570257}" destId="{2F94551E-AD58-4389-A867-ACC7E854241D}" srcOrd="1" destOrd="0" presId="urn:microsoft.com/office/officeart/2005/8/layout/list1"/>
    <dgm:cxn modelId="{48FD79B7-0A80-4168-B74D-E45585C648D8}" srcId="{DCD48D7A-4B03-4423-8CB5-5C5D79405805}" destId="{717ECC8B-6813-4A27-9DC1-A0349E570257}" srcOrd="2" destOrd="0" parTransId="{D945DCAA-29DE-415E-9EC0-2EA9CDBA637F}" sibTransId="{60E19195-CF68-47DE-9785-66C048977208}"/>
    <dgm:cxn modelId="{21FF54B0-7061-409D-AA77-9C011DC7E50B}" srcId="{717ECC8B-6813-4A27-9DC1-A0349E570257}" destId="{0C7E1392-1B2E-4473-98A3-7DB95B0F3E41}" srcOrd="3" destOrd="0" parTransId="{1BB85BBF-AE3C-4053-94E1-A07AA9D27118}" sibTransId="{170804D9-020B-4492-BDDC-2864E2B9B088}"/>
    <dgm:cxn modelId="{81798117-7F32-4512-A9BE-FB15A365DCF2}" type="presOf" srcId="{477C0414-2F64-47A3-9675-FE2E4F8C4A83}" destId="{06ACE6F8-0FA9-44AE-BA37-8718AB57D422}" srcOrd="0" destOrd="3" presId="urn:microsoft.com/office/officeart/2005/8/layout/list1"/>
    <dgm:cxn modelId="{5106C352-9084-428F-ABCE-4715AAA43E33}" type="presOf" srcId="{29647C36-AD56-480A-B274-AFD85B8257AC}" destId="{77262FC2-D56C-47EC-A6D3-390D5DF0E708}" srcOrd="0" destOrd="2" presId="urn:microsoft.com/office/officeart/2005/8/layout/list1"/>
    <dgm:cxn modelId="{47FA276C-8AB9-4C50-93CB-3C240B93E4C4}" srcId="{8069E184-766F-4E8B-A1E8-51EDBCF8B787}" destId="{C8F6D009-A118-4555-A677-CBA61BF6F0D5}" srcOrd="2" destOrd="0" parTransId="{C71E5930-069B-45A4-B7EB-02FF81630C0E}" sibTransId="{EC10895F-10B2-42FD-BCC8-4993E1130164}"/>
    <dgm:cxn modelId="{954406F2-1B59-4EB7-8571-C1BB56C70C82}" type="presOf" srcId="{320F87EC-CED1-4210-8A86-B8F3B4014BD7}" destId="{3BC1BA34-3099-48F7-ADCC-C59CA8F05523}" srcOrd="0" destOrd="2" presId="urn:microsoft.com/office/officeart/2005/8/layout/list1"/>
    <dgm:cxn modelId="{C7F3AF26-7028-4FBC-A3B8-442CFA4F4A7F}" type="presOf" srcId="{4A7800C9-7D3D-4FD3-A0C8-055EA574631C}" destId="{3BC1BA34-3099-48F7-ADCC-C59CA8F05523}" srcOrd="0" destOrd="1" presId="urn:microsoft.com/office/officeart/2005/8/layout/list1"/>
    <dgm:cxn modelId="{0F5FD01F-7C50-4552-ACA8-1BCD7B93BC0C}" type="presOf" srcId="{275C1FC4-3E17-4EB7-B629-3B18A2C22A68}" destId="{3BC1BA34-3099-48F7-ADCC-C59CA8F05523}" srcOrd="0" destOrd="5" presId="urn:microsoft.com/office/officeart/2005/8/layout/list1"/>
    <dgm:cxn modelId="{9A2394D6-DEA8-457C-A7F6-0CA60D78D7EA}" srcId="{8069E184-766F-4E8B-A1E8-51EDBCF8B787}" destId="{08ED7DEB-8B98-40A9-9699-ACCFB829DBE2}" srcOrd="1" destOrd="0" parTransId="{C96799B1-BF4C-4F01-9A1B-8BF2A3D32A1B}" sibTransId="{BC1C2EC9-649F-493C-B095-2F14FEE273F0}"/>
    <dgm:cxn modelId="{84B27017-A550-4955-B34A-A6F39E2DEC14}" srcId="{38D6ECF3-9DC0-4FA5-AA85-AE678086D86F}" destId="{7AD3D970-693A-46CB-93F2-8719BB4A2138}" srcOrd="0" destOrd="0" parTransId="{76659B4B-2119-4F3E-A632-F083A9E2AF61}" sibTransId="{004D6EF7-97F6-4EB3-9B3E-229E15C08DFD}"/>
    <dgm:cxn modelId="{6ECE81EC-BB4B-453C-92DD-2559DD914CE7}" type="presOf" srcId="{2CB7F8B1-2637-4408-9185-3A95A2E4D4D4}" destId="{E6E34545-7A70-45F5-AF30-5300FEAF0CB4}" srcOrd="1" destOrd="0" presId="urn:microsoft.com/office/officeart/2005/8/layout/list1"/>
    <dgm:cxn modelId="{1FF54305-BFB2-4855-ACDA-8F153FA4F52D}" type="presOf" srcId="{8069E184-766F-4E8B-A1E8-51EDBCF8B787}" destId="{8FFBFEAB-4C29-43E1-9195-E019257224C0}" srcOrd="0" destOrd="0" presId="urn:microsoft.com/office/officeart/2005/8/layout/list1"/>
    <dgm:cxn modelId="{86FF9304-A88E-4E74-AECB-FD793CD64EBE}" srcId="{717ECC8B-6813-4A27-9DC1-A0349E570257}" destId="{90932CD4-98AF-4D20-B3A5-3F4217DAB33C}" srcOrd="0" destOrd="0" parTransId="{D4A14047-4231-4EAE-82B4-884A078437F6}" sibTransId="{678DBBEA-15F8-4CEC-BE62-3B0B23BED2F8}"/>
    <dgm:cxn modelId="{952D29FA-01DB-4FF4-B950-87A63CC80292}" srcId="{D67F9A5A-5E88-44A1-939C-135CE3AF4041}" destId="{F2356AF9-BEEF-4B44-8D11-6960D17AF916}" srcOrd="1" destOrd="0" parTransId="{30965C44-C041-42DC-BEED-B4376C8E6B72}" sibTransId="{B601354C-9FC2-4283-877B-28B5BED5CBBC}"/>
    <dgm:cxn modelId="{387F9B62-BA72-46DA-93B7-D805807BFC03}" srcId="{717ECC8B-6813-4A27-9DC1-A0349E570257}" destId="{275C1FC4-3E17-4EB7-B629-3B18A2C22A68}" srcOrd="5" destOrd="0" parTransId="{47FF5181-689E-402C-BA5E-A7F036D82964}" sibTransId="{BD9B50B6-A249-4B4C-A504-6B8A26A3E4B7}"/>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D5CD7D-3A20-4EB8-B442-65E54571D39E}">
      <dsp:nvSpPr>
        <dsp:cNvPr id="0" name=""/>
        <dsp:cNvSpPr/>
      </dsp:nvSpPr>
      <dsp:spPr>
        <a:xfrm>
          <a:off x="0" y="442472"/>
          <a:ext cx="3723005" cy="1071000"/>
        </a:xfrm>
        <a:prstGeom prst="rect">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312420"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Definición de la unidad objeto de ordenación forestal</a:t>
          </a:r>
        </a:p>
        <a:p>
          <a:pPr marL="57150" lvl="1" indent="-57150" algn="l" defTabSz="400050">
            <a:lnSpc>
              <a:spcPct val="90000"/>
            </a:lnSpc>
            <a:spcBef>
              <a:spcPct val="0"/>
            </a:spcBef>
            <a:spcAft>
              <a:spcPct val="15000"/>
            </a:spcAft>
            <a:buChar char="••"/>
          </a:pPr>
          <a:r>
            <a:rPr lang="es-CO" sz="900" kern="1200"/>
            <a:t>Asignación de recursos</a:t>
          </a:r>
        </a:p>
        <a:p>
          <a:pPr marL="57150" lvl="1" indent="-57150" algn="l" defTabSz="400050">
            <a:lnSpc>
              <a:spcPct val="90000"/>
            </a:lnSpc>
            <a:spcBef>
              <a:spcPct val="0"/>
            </a:spcBef>
            <a:spcAft>
              <a:spcPct val="15000"/>
            </a:spcAft>
            <a:buChar char="••"/>
          </a:pPr>
          <a:r>
            <a:rPr lang="es-CO" sz="900" kern="1200"/>
            <a:t>Inicio del proceso pre y contractual</a:t>
          </a:r>
        </a:p>
        <a:p>
          <a:pPr marL="57150" lvl="1" indent="-57150" algn="l" defTabSz="400050">
            <a:lnSpc>
              <a:spcPct val="90000"/>
            </a:lnSpc>
            <a:spcBef>
              <a:spcPct val="0"/>
            </a:spcBef>
            <a:spcAft>
              <a:spcPct val="15000"/>
            </a:spcAft>
            <a:buChar char="••"/>
          </a:pPr>
          <a:r>
            <a:rPr lang="es-CO" sz="900" kern="1200"/>
            <a:t>Conformación del equipo de trabajo  </a:t>
          </a:r>
        </a:p>
      </dsp:txBody>
      <dsp:txXfrm>
        <a:off x="0" y="442472"/>
        <a:ext cx="3723005" cy="1071000"/>
      </dsp:txXfrm>
    </dsp:sp>
    <dsp:sp modelId="{E6E34545-7A70-45F5-AF30-5300FEAF0CB4}">
      <dsp:nvSpPr>
        <dsp:cNvPr id="0" name=""/>
        <dsp:cNvSpPr/>
      </dsp:nvSpPr>
      <dsp:spPr>
        <a:xfrm>
          <a:off x="186150" y="75385"/>
          <a:ext cx="2606103" cy="590400"/>
        </a:xfrm>
        <a:prstGeom prst="roundRect">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1. FASE DE PREPARACION</a:t>
          </a:r>
        </a:p>
      </dsp:txBody>
      <dsp:txXfrm>
        <a:off x="214971" y="104206"/>
        <a:ext cx="2548461" cy="532758"/>
      </dsp:txXfrm>
    </dsp:sp>
    <dsp:sp modelId="{BEC4ABD6-0E89-47BE-B95E-5D5D71B73DA1}">
      <dsp:nvSpPr>
        <dsp:cNvPr id="0" name=""/>
        <dsp:cNvSpPr/>
      </dsp:nvSpPr>
      <dsp:spPr>
        <a:xfrm>
          <a:off x="0" y="1916672"/>
          <a:ext cx="3723005" cy="1197000"/>
        </a:xfrm>
        <a:prstGeom prst="rect">
          <a:avLst/>
        </a:prstGeom>
        <a:solidFill>
          <a:schemeClr val="lt1">
            <a:alpha val="90000"/>
            <a:hueOff val="0"/>
            <a:satOff val="0"/>
            <a:lumOff val="0"/>
            <a:alphaOff val="0"/>
          </a:schemeClr>
        </a:solidFill>
        <a:ln w="12700" cap="flat" cmpd="sng" algn="ctr">
          <a:solidFill>
            <a:schemeClr val="accent5">
              <a:hueOff val="-1225557"/>
              <a:satOff val="-1705"/>
              <a:lumOff val="-654"/>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312420"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Consulta, validación y digitalización de información secundaria</a:t>
          </a:r>
        </a:p>
        <a:p>
          <a:pPr marL="57150" lvl="1" indent="-57150" algn="l" defTabSz="400050">
            <a:lnSpc>
              <a:spcPct val="90000"/>
            </a:lnSpc>
            <a:spcBef>
              <a:spcPct val="0"/>
            </a:spcBef>
            <a:spcAft>
              <a:spcPct val="15000"/>
            </a:spcAft>
            <a:buChar char="••"/>
          </a:pPr>
          <a:r>
            <a:rPr lang="es-CO" sz="900" kern="1200"/>
            <a:t>Procesamiento e interpretación de imágenes satelitales</a:t>
          </a:r>
        </a:p>
        <a:p>
          <a:pPr marL="57150" lvl="1" indent="-57150" algn="l" defTabSz="400050">
            <a:lnSpc>
              <a:spcPct val="90000"/>
            </a:lnSpc>
            <a:spcBef>
              <a:spcPct val="0"/>
            </a:spcBef>
            <a:spcAft>
              <a:spcPct val="15000"/>
            </a:spcAft>
            <a:buChar char="••"/>
          </a:pPr>
          <a:r>
            <a:rPr lang="es-CO" sz="900" kern="1200"/>
            <a:t>Generación de información cartográfica preliminar</a:t>
          </a:r>
        </a:p>
        <a:p>
          <a:pPr marL="57150" lvl="1" indent="-57150" algn="l" defTabSz="400050">
            <a:lnSpc>
              <a:spcPct val="90000"/>
            </a:lnSpc>
            <a:spcBef>
              <a:spcPct val="0"/>
            </a:spcBef>
            <a:spcAft>
              <a:spcPct val="15000"/>
            </a:spcAft>
            <a:buChar char="••"/>
          </a:pPr>
          <a:r>
            <a:rPr lang="es-CO" sz="900" kern="1200"/>
            <a:t>Definición de metodología para levantamiento de información primaria</a:t>
          </a:r>
        </a:p>
      </dsp:txBody>
      <dsp:txXfrm>
        <a:off x="0" y="1916672"/>
        <a:ext cx="3723005" cy="1197000"/>
      </dsp:txXfrm>
    </dsp:sp>
    <dsp:sp modelId="{C4175353-957F-4B0A-882A-9D65932C4C45}">
      <dsp:nvSpPr>
        <dsp:cNvPr id="0" name=""/>
        <dsp:cNvSpPr/>
      </dsp:nvSpPr>
      <dsp:spPr>
        <a:xfrm>
          <a:off x="200779" y="1604504"/>
          <a:ext cx="2606103" cy="590400"/>
        </a:xfrm>
        <a:prstGeom prst="roundRect">
          <a:avLst/>
        </a:prstGeom>
        <a:solidFill>
          <a:schemeClr val="accent5">
            <a:hueOff val="-1225557"/>
            <a:satOff val="-1705"/>
            <a:lumOff val="-65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2. FASE DE APRESTAMIENTO</a:t>
          </a:r>
        </a:p>
      </dsp:txBody>
      <dsp:txXfrm>
        <a:off x="229600" y="1633325"/>
        <a:ext cx="2548461" cy="532758"/>
      </dsp:txXfrm>
    </dsp:sp>
    <dsp:sp modelId="{3BC1BA34-3099-48F7-ADCC-C59CA8F05523}">
      <dsp:nvSpPr>
        <dsp:cNvPr id="0" name=""/>
        <dsp:cNvSpPr/>
      </dsp:nvSpPr>
      <dsp:spPr>
        <a:xfrm>
          <a:off x="0" y="3516871"/>
          <a:ext cx="3723005" cy="1383260"/>
        </a:xfrm>
        <a:prstGeom prst="rect">
          <a:avLst/>
        </a:prstGeom>
        <a:solidFill>
          <a:schemeClr val="lt1">
            <a:alpha val="90000"/>
            <a:hueOff val="0"/>
            <a:satOff val="0"/>
            <a:lumOff val="0"/>
            <a:alphaOff val="0"/>
          </a:schemeClr>
        </a:solidFill>
        <a:ln w="12700" cap="flat" cmpd="sng" algn="ctr">
          <a:solidFill>
            <a:schemeClr val="accent5">
              <a:hueOff val="-2451115"/>
              <a:satOff val="-3409"/>
              <a:lumOff val="-1307"/>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312420"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y acuerdos con actores regionales y locales</a:t>
          </a:r>
        </a:p>
        <a:p>
          <a:pPr marL="57150" lvl="1" indent="-57150" algn="l" defTabSz="400050">
            <a:lnSpc>
              <a:spcPct val="90000"/>
            </a:lnSpc>
            <a:spcBef>
              <a:spcPct val="0"/>
            </a:spcBef>
            <a:spcAft>
              <a:spcPct val="15000"/>
            </a:spcAft>
            <a:buChar char="••"/>
          </a:pPr>
          <a:r>
            <a:rPr lang="es-CO" sz="900" kern="1200"/>
            <a:t>Chequeo cartografía en campo</a:t>
          </a:r>
        </a:p>
        <a:p>
          <a:pPr marL="57150" lvl="1" indent="-57150" algn="l" defTabSz="400050">
            <a:lnSpc>
              <a:spcPct val="90000"/>
            </a:lnSpc>
            <a:spcBef>
              <a:spcPct val="0"/>
            </a:spcBef>
            <a:spcAft>
              <a:spcPct val="15000"/>
            </a:spcAft>
            <a:buChar char="••"/>
          </a:pPr>
          <a:r>
            <a:rPr lang="es-CO" sz="900" kern="1200"/>
            <a:t>Desarrollo del premuestreo, ajuste y realización del inventario forestal</a:t>
          </a:r>
        </a:p>
        <a:p>
          <a:pPr marL="57150" lvl="1" indent="-57150" algn="l" defTabSz="400050">
            <a:lnSpc>
              <a:spcPct val="90000"/>
            </a:lnSpc>
            <a:spcBef>
              <a:spcPct val="0"/>
            </a:spcBef>
            <a:spcAft>
              <a:spcPct val="15000"/>
            </a:spcAft>
            <a:buChar char="••"/>
          </a:pPr>
          <a:r>
            <a:rPr lang="es-CO" sz="900" kern="1200"/>
            <a:t>Desarrollo del componente fauna</a:t>
          </a:r>
        </a:p>
        <a:p>
          <a:pPr marL="57150" lvl="1" indent="-57150" algn="l" defTabSz="400050">
            <a:lnSpc>
              <a:spcPct val="90000"/>
            </a:lnSpc>
            <a:spcBef>
              <a:spcPct val="0"/>
            </a:spcBef>
            <a:spcAft>
              <a:spcPct val="15000"/>
            </a:spcAft>
            <a:buChar char="••"/>
          </a:pPr>
          <a:r>
            <a:rPr lang="es-CO" sz="900" kern="1200"/>
            <a:t>Desarrollo del componente socieconomico</a:t>
          </a:r>
        </a:p>
        <a:p>
          <a:pPr marL="57150" lvl="1" indent="-57150" algn="l" defTabSz="400050">
            <a:lnSpc>
              <a:spcPct val="90000"/>
            </a:lnSpc>
            <a:spcBef>
              <a:spcPct val="0"/>
            </a:spcBef>
            <a:spcAft>
              <a:spcPct val="15000"/>
            </a:spcAft>
            <a:buChar char="••"/>
          </a:pPr>
          <a:r>
            <a:rPr lang="es-CO" sz="900" kern="1200"/>
            <a:t>Desarrollo del componente suelos</a:t>
          </a:r>
        </a:p>
      </dsp:txBody>
      <dsp:txXfrm>
        <a:off x="0" y="3516871"/>
        <a:ext cx="3723005" cy="1383260"/>
      </dsp:txXfrm>
    </dsp:sp>
    <dsp:sp modelId="{2F94551E-AD58-4389-A867-ACC7E854241D}">
      <dsp:nvSpPr>
        <dsp:cNvPr id="0" name=""/>
        <dsp:cNvSpPr/>
      </dsp:nvSpPr>
      <dsp:spPr>
        <a:xfrm>
          <a:off x="178834" y="3204704"/>
          <a:ext cx="2606103" cy="590400"/>
        </a:xfrm>
        <a:prstGeom prst="roundRect">
          <a:avLst/>
        </a:prstGeom>
        <a:solidFill>
          <a:schemeClr val="accent5">
            <a:hueOff val="-2451115"/>
            <a:satOff val="-3409"/>
            <a:lumOff val="-1307"/>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3. FASE  LOGISTICA Y OPERATIVA</a:t>
          </a:r>
        </a:p>
      </dsp:txBody>
      <dsp:txXfrm>
        <a:off x="207655" y="3233525"/>
        <a:ext cx="2548461" cy="532758"/>
      </dsp:txXfrm>
    </dsp:sp>
    <dsp:sp modelId="{06ACE6F8-0FA9-44AE-BA37-8718AB57D422}">
      <dsp:nvSpPr>
        <dsp:cNvPr id="0" name=""/>
        <dsp:cNvSpPr/>
      </dsp:nvSpPr>
      <dsp:spPr>
        <a:xfrm>
          <a:off x="0" y="5346281"/>
          <a:ext cx="3723005" cy="1197000"/>
        </a:xfrm>
        <a:prstGeom prst="rect">
          <a:avLst/>
        </a:prstGeom>
        <a:solidFill>
          <a:schemeClr val="lt1">
            <a:alpha val="90000"/>
            <a:hueOff val="0"/>
            <a:satOff val="0"/>
            <a:lumOff val="0"/>
            <a:alphaOff val="0"/>
          </a:schemeClr>
        </a:solidFill>
        <a:ln w="12700" cap="flat" cmpd="sng" algn="ctr">
          <a:solidFill>
            <a:schemeClr val="accent5">
              <a:hueOff val="-3676672"/>
              <a:satOff val="-5114"/>
              <a:lumOff val="-196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312420"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Procesamiento y análisis de información primaria</a:t>
          </a:r>
        </a:p>
        <a:p>
          <a:pPr marL="57150" lvl="1" indent="-57150" algn="l" defTabSz="400050">
            <a:lnSpc>
              <a:spcPct val="90000"/>
            </a:lnSpc>
            <a:spcBef>
              <a:spcPct val="0"/>
            </a:spcBef>
            <a:spcAft>
              <a:spcPct val="15000"/>
            </a:spcAft>
            <a:buChar char="••"/>
          </a:pPr>
          <a:r>
            <a:rPr lang="es-CO" sz="900" kern="1200"/>
            <a:t>Propuesta zonificación inicial de la UOF</a:t>
          </a:r>
        </a:p>
        <a:p>
          <a:pPr marL="57150" lvl="1" indent="-57150" algn="l" defTabSz="400050">
            <a:lnSpc>
              <a:spcPct val="90000"/>
            </a:lnSpc>
            <a:spcBef>
              <a:spcPct val="0"/>
            </a:spcBef>
            <a:spcAft>
              <a:spcPct val="15000"/>
            </a:spcAft>
            <a:buChar char="••"/>
          </a:pPr>
          <a:r>
            <a:rPr lang="es-CO" sz="900" kern="1200"/>
            <a:t>Propuesta de zonificación de las áreas forestales que componen la UOF</a:t>
          </a:r>
        </a:p>
        <a:p>
          <a:pPr marL="57150" lvl="1" indent="-57150" algn="l" defTabSz="400050">
            <a:lnSpc>
              <a:spcPct val="90000"/>
            </a:lnSpc>
            <a:spcBef>
              <a:spcPct val="0"/>
            </a:spcBef>
            <a:spcAft>
              <a:spcPct val="15000"/>
            </a:spcAft>
            <a:buChar char="••"/>
          </a:pPr>
          <a:r>
            <a:rPr lang="es-CO" sz="900" kern="1200"/>
            <a:t> Formulación del POF para cada área forestal de la UOF</a:t>
          </a:r>
        </a:p>
      </dsp:txBody>
      <dsp:txXfrm>
        <a:off x="0" y="5346281"/>
        <a:ext cx="3723005" cy="1197000"/>
      </dsp:txXfrm>
    </dsp:sp>
    <dsp:sp modelId="{514BAA5A-25A1-407B-9E98-4F585743FC17}">
      <dsp:nvSpPr>
        <dsp:cNvPr id="0" name=""/>
        <dsp:cNvSpPr/>
      </dsp:nvSpPr>
      <dsp:spPr>
        <a:xfrm>
          <a:off x="186150" y="4991165"/>
          <a:ext cx="2606103" cy="590400"/>
        </a:xfrm>
        <a:prstGeom prst="roundRect">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4. FASE DE OFICINA</a:t>
          </a:r>
        </a:p>
      </dsp:txBody>
      <dsp:txXfrm>
        <a:off x="214971" y="5019986"/>
        <a:ext cx="2548461" cy="532758"/>
      </dsp:txXfrm>
    </dsp:sp>
    <dsp:sp modelId="{4EFCDA67-9C44-44DD-A910-D775D3C6B542}">
      <dsp:nvSpPr>
        <dsp:cNvPr id="0" name=""/>
        <dsp:cNvSpPr/>
      </dsp:nvSpPr>
      <dsp:spPr>
        <a:xfrm>
          <a:off x="0" y="6917909"/>
          <a:ext cx="3723005" cy="796827"/>
        </a:xfrm>
        <a:prstGeom prst="rect">
          <a:avLst/>
        </a:prstGeom>
        <a:solidFill>
          <a:schemeClr val="lt1">
            <a:alpha val="90000"/>
            <a:hueOff val="0"/>
            <a:satOff val="0"/>
            <a:lumOff val="0"/>
            <a:alphaOff val="0"/>
          </a:schemeClr>
        </a:solidFill>
        <a:ln w="12700" cap="flat" cmpd="sng" algn="ctr">
          <a:solidFill>
            <a:schemeClr val="accent5">
              <a:hueOff val="-4902230"/>
              <a:satOff val="-6819"/>
              <a:lumOff val="-261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312420"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versión premiminar de los POF</a:t>
          </a:r>
        </a:p>
        <a:p>
          <a:pPr marL="57150" lvl="1" indent="-57150" algn="l" defTabSz="400050">
            <a:lnSpc>
              <a:spcPct val="90000"/>
            </a:lnSpc>
            <a:spcBef>
              <a:spcPct val="0"/>
            </a:spcBef>
            <a:spcAft>
              <a:spcPct val="15000"/>
            </a:spcAft>
            <a:buChar char="••"/>
          </a:pPr>
          <a:r>
            <a:rPr lang="es-CO" sz="900" kern="1200"/>
            <a:t>Armonización de los POF con actores locales y regionales</a:t>
          </a:r>
        </a:p>
        <a:p>
          <a:pPr marL="57150" lvl="1" indent="-57150" algn="l" defTabSz="400050">
            <a:lnSpc>
              <a:spcPct val="90000"/>
            </a:lnSpc>
            <a:spcBef>
              <a:spcPct val="0"/>
            </a:spcBef>
            <a:spcAft>
              <a:spcPct val="15000"/>
            </a:spcAft>
            <a:buChar char="••"/>
          </a:pPr>
          <a:r>
            <a:rPr lang="es-CO" sz="900" kern="1200"/>
            <a:t>Edición y ajustes de los POF</a:t>
          </a:r>
        </a:p>
      </dsp:txBody>
      <dsp:txXfrm>
        <a:off x="0" y="6917909"/>
        <a:ext cx="3723005" cy="796827"/>
      </dsp:txXfrm>
    </dsp:sp>
    <dsp:sp modelId="{72C2FA48-4513-4CD5-8267-CAFA222E040F}">
      <dsp:nvSpPr>
        <dsp:cNvPr id="0" name=""/>
        <dsp:cNvSpPr/>
      </dsp:nvSpPr>
      <dsp:spPr>
        <a:xfrm>
          <a:off x="178834" y="6627976"/>
          <a:ext cx="2606103" cy="590400"/>
        </a:xfrm>
        <a:prstGeom prst="roundRect">
          <a:avLst/>
        </a:prstGeom>
        <a:solidFill>
          <a:schemeClr val="accent5">
            <a:hueOff val="-4902230"/>
            <a:satOff val="-6819"/>
            <a:lumOff val="-261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5. FASE DE FORMULACION</a:t>
          </a:r>
        </a:p>
      </dsp:txBody>
      <dsp:txXfrm>
        <a:off x="207655" y="6656797"/>
        <a:ext cx="2548461" cy="532758"/>
      </dsp:txXfrm>
    </dsp:sp>
    <dsp:sp modelId="{FA8C06B1-BAA1-4827-A601-D14B18466DB6}">
      <dsp:nvSpPr>
        <dsp:cNvPr id="0" name=""/>
        <dsp:cNvSpPr/>
      </dsp:nvSpPr>
      <dsp:spPr>
        <a:xfrm>
          <a:off x="0" y="8103561"/>
          <a:ext cx="3723005" cy="1165500"/>
        </a:xfrm>
        <a:prstGeom prst="rect">
          <a:avLst/>
        </a:prstGeom>
        <a:solidFill>
          <a:schemeClr val="lt1">
            <a:alpha val="90000"/>
            <a:hueOff val="0"/>
            <a:satOff val="0"/>
            <a:lumOff val="0"/>
            <a:alphaOff val="0"/>
          </a:schemeClr>
        </a:solidFill>
        <a:ln w="12700" cap="flat" cmpd="sng" algn="ctr">
          <a:solidFill>
            <a:schemeClr val="accent5">
              <a:hueOff val="-6127787"/>
              <a:satOff val="-8523"/>
              <a:lumOff val="-326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312420"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Aprobación de los POF por Consejo Directivo de la autoridad ambiental competente</a:t>
          </a:r>
        </a:p>
        <a:p>
          <a:pPr marL="57150" lvl="1" indent="-57150" algn="l" defTabSz="400050">
            <a:lnSpc>
              <a:spcPct val="90000"/>
            </a:lnSpc>
            <a:spcBef>
              <a:spcPct val="0"/>
            </a:spcBef>
            <a:spcAft>
              <a:spcPct val="15000"/>
            </a:spcAft>
            <a:buChar char="••"/>
          </a:pPr>
          <a:r>
            <a:rPr lang="es-CO" sz="900" kern="1200"/>
            <a:t>Incorporación de los POF en el POA de la autoridad ambiental competente</a:t>
          </a:r>
        </a:p>
        <a:p>
          <a:pPr marL="57150" lvl="1" indent="-57150" algn="l" defTabSz="400050">
            <a:lnSpc>
              <a:spcPct val="90000"/>
            </a:lnSpc>
            <a:spcBef>
              <a:spcPct val="0"/>
            </a:spcBef>
            <a:spcAft>
              <a:spcPct val="15000"/>
            </a:spcAft>
            <a:buChar char="••"/>
          </a:pPr>
          <a:r>
            <a:rPr lang="es-CO" sz="900" kern="1200"/>
            <a:t>Desarrollo de planes, programas y proyectos de cada POF </a:t>
          </a:r>
        </a:p>
      </dsp:txBody>
      <dsp:txXfrm>
        <a:off x="0" y="8103561"/>
        <a:ext cx="3723005" cy="1165500"/>
      </dsp:txXfrm>
    </dsp:sp>
    <dsp:sp modelId="{4E9F94DE-8CF1-4FE7-9A6B-53CB416743FC}">
      <dsp:nvSpPr>
        <dsp:cNvPr id="0" name=""/>
        <dsp:cNvSpPr/>
      </dsp:nvSpPr>
      <dsp:spPr>
        <a:xfrm>
          <a:off x="186150" y="7809695"/>
          <a:ext cx="2606103" cy="590400"/>
        </a:xfrm>
        <a:prstGeom prst="roundRect">
          <a:avLst/>
        </a:prstGeom>
        <a:solidFill>
          <a:schemeClr val="accent5">
            <a:hueOff val="-6127787"/>
            <a:satOff val="-8523"/>
            <a:lumOff val="-326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6. FASE DE IMPLEMENTACION</a:t>
          </a:r>
        </a:p>
      </dsp:txBody>
      <dsp:txXfrm>
        <a:off x="214971" y="7838516"/>
        <a:ext cx="2548461" cy="532758"/>
      </dsp:txXfrm>
    </dsp:sp>
    <dsp:sp modelId="{77262FC2-D56C-47EC-A6D3-390D5DF0E708}">
      <dsp:nvSpPr>
        <dsp:cNvPr id="0" name=""/>
        <dsp:cNvSpPr/>
      </dsp:nvSpPr>
      <dsp:spPr>
        <a:xfrm>
          <a:off x="0" y="9657882"/>
          <a:ext cx="3723005" cy="913500"/>
        </a:xfrm>
        <a:prstGeom prst="rect">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312420"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Seguimiento a los POF</a:t>
          </a:r>
        </a:p>
        <a:p>
          <a:pPr marL="57150" lvl="1" indent="-57150" algn="l" defTabSz="400050">
            <a:lnSpc>
              <a:spcPct val="90000"/>
            </a:lnSpc>
            <a:spcBef>
              <a:spcPct val="0"/>
            </a:spcBef>
            <a:spcAft>
              <a:spcPct val="15000"/>
            </a:spcAft>
            <a:buChar char="••"/>
          </a:pPr>
          <a:r>
            <a:rPr lang="es-CO" sz="900" kern="1200"/>
            <a:t>Revisión y evaluación de los POF</a:t>
          </a:r>
        </a:p>
        <a:p>
          <a:pPr marL="57150" lvl="1" indent="-57150" algn="l" defTabSz="400050">
            <a:lnSpc>
              <a:spcPct val="90000"/>
            </a:lnSpc>
            <a:spcBef>
              <a:spcPct val="0"/>
            </a:spcBef>
            <a:spcAft>
              <a:spcPct val="15000"/>
            </a:spcAft>
            <a:buChar char="••"/>
          </a:pPr>
          <a:r>
            <a:rPr lang="es-CO" sz="900" kern="1200"/>
            <a:t>Actualización de los POF  </a:t>
          </a:r>
        </a:p>
      </dsp:txBody>
      <dsp:txXfrm>
        <a:off x="0" y="9657882"/>
        <a:ext cx="3723005" cy="913500"/>
      </dsp:txXfrm>
    </dsp:sp>
    <dsp:sp modelId="{0BB363C2-1000-4D63-89E1-75C121258685}">
      <dsp:nvSpPr>
        <dsp:cNvPr id="0" name=""/>
        <dsp:cNvSpPr/>
      </dsp:nvSpPr>
      <dsp:spPr>
        <a:xfrm>
          <a:off x="193465" y="9378395"/>
          <a:ext cx="2606103" cy="590400"/>
        </a:xfrm>
        <a:prstGeom prst="roundRect">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7. FASE DE SEGUIMIENTO Y ACTUALIZACION</a:t>
          </a:r>
        </a:p>
      </dsp:txBody>
      <dsp:txXfrm>
        <a:off x="222286" y="9407216"/>
        <a:ext cx="2548461"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png"/><Relationship Id="rId5" Type="http://schemas.openxmlformats.org/officeDocument/2006/relationships/image" Target="../media/image14.png"/><Relationship Id="rId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7.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1.png"/><Relationship Id="rId2" Type="http://schemas.openxmlformats.org/officeDocument/2006/relationships/diagramData" Target="../diagrams/data1.xml"/><Relationship Id="rId1" Type="http://schemas.openxmlformats.org/officeDocument/2006/relationships/image" Target="../media/image20.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2.png"/><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4.png"/><Relationship Id="rId1"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7.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9.png"/><Relationship Id="rId1" Type="http://schemas.openxmlformats.org/officeDocument/2006/relationships/image" Target="../media/image38.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0.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 Id="rId4"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7.png"/><Relationship Id="rId1" Type="http://schemas.openxmlformats.org/officeDocument/2006/relationships/image" Target="../media/image4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10" name="1 Grupo">
          <a:extLst>
            <a:ext uri="{FF2B5EF4-FFF2-40B4-BE49-F238E27FC236}">
              <a16:creationId xmlns="" xmlns:a16="http://schemas.microsoft.com/office/drawing/2014/main" id="{00000000-0008-0000-0000-00000A000000}"/>
            </a:ext>
          </a:extLst>
        </xdr:cNvPr>
        <xdr:cNvGrpSpPr>
          <a:grpSpLocks/>
        </xdr:cNvGrpSpPr>
      </xdr:nvGrpSpPr>
      <xdr:grpSpPr bwMode="auto">
        <a:xfrm>
          <a:off x="2" y="0"/>
          <a:ext cx="9448798" cy="1657350"/>
          <a:chOff x="57151" y="47625"/>
          <a:chExt cx="6181724" cy="1581150"/>
        </a:xfrm>
      </xdr:grpSpPr>
      <xdr:pic>
        <xdr:nvPicPr>
          <xdr:cNvPr id="11" name="1 Imagen" descr="ESCUDO-transp-lema-blanco.png">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12" name="3 CuadroTexto">
            <a:extLst>
              <a:ext uri="{FF2B5EF4-FFF2-40B4-BE49-F238E27FC236}">
                <a16:creationId xmlns="" xmlns:a16="http://schemas.microsoft.com/office/drawing/2014/main" id="{00000000-0008-0000-0000-00000C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580" y="21983700"/>
          <a:ext cx="1684166"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0D00-000003000000}"/>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0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30481</xdr:colOff>
      <xdr:row>87</xdr:row>
      <xdr:rowOff>144780</xdr:rowOff>
    </xdr:from>
    <xdr:to>
      <xdr:col>2</xdr:col>
      <xdr:colOff>2372310</xdr:colOff>
      <xdr:row>87</xdr:row>
      <xdr:rowOff>240800</xdr:rowOff>
    </xdr:to>
    <xdr:pic>
      <xdr:nvPicPr>
        <xdr:cNvPr id="2" name="Imagen 1">
          <a:extLst>
            <a:ext uri="{FF2B5EF4-FFF2-40B4-BE49-F238E27FC236}">
              <a16:creationId xmlns=""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2061" y="21252180"/>
          <a:ext cx="2341829"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411481</xdr:colOff>
      <xdr:row>98</xdr:row>
      <xdr:rowOff>0</xdr:rowOff>
    </xdr:from>
    <xdr:to>
      <xdr:col>2</xdr:col>
      <xdr:colOff>1718424</xdr:colOff>
      <xdr:row>99</xdr:row>
      <xdr:rowOff>3826</xdr:rowOff>
    </xdr:to>
    <xdr:pic>
      <xdr:nvPicPr>
        <xdr:cNvPr id="3" name="Imagen 2">
          <a:extLst>
            <a:ext uri="{FF2B5EF4-FFF2-40B4-BE49-F238E27FC236}">
              <a16:creationId xmlns=""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23061" y="25534620"/>
          <a:ext cx="1306943"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624841</xdr:colOff>
      <xdr:row>104</xdr:row>
      <xdr:rowOff>15240</xdr:rowOff>
    </xdr:from>
    <xdr:to>
      <xdr:col>2</xdr:col>
      <xdr:colOff>1654392</xdr:colOff>
      <xdr:row>105</xdr:row>
      <xdr:rowOff>19066</xdr:rowOff>
    </xdr:to>
    <xdr:pic>
      <xdr:nvPicPr>
        <xdr:cNvPr id="4" name="Imagen 3">
          <a:extLst>
            <a:ext uri="{FF2B5EF4-FFF2-40B4-BE49-F238E27FC236}">
              <a16:creationId xmlns=""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36421" y="27104340"/>
          <a:ext cx="1029551"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594360</xdr:colOff>
      <xdr:row>110</xdr:row>
      <xdr:rowOff>144780</xdr:rowOff>
    </xdr:from>
    <xdr:to>
      <xdr:col>2</xdr:col>
      <xdr:colOff>1655918</xdr:colOff>
      <xdr:row>111</xdr:row>
      <xdr:rowOff>148606</xdr:rowOff>
    </xdr:to>
    <xdr:pic>
      <xdr:nvPicPr>
        <xdr:cNvPr id="5" name="Imagen 4">
          <a:extLst>
            <a:ext uri="{FF2B5EF4-FFF2-40B4-BE49-F238E27FC236}">
              <a16:creationId xmlns=""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5940" y="28635960"/>
          <a:ext cx="1061558"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365760</xdr:colOff>
      <xdr:row>117</xdr:row>
      <xdr:rowOff>53341</xdr:rowOff>
    </xdr:from>
    <xdr:to>
      <xdr:col>2</xdr:col>
      <xdr:colOff>2206150</xdr:colOff>
      <xdr:row>118</xdr:row>
      <xdr:rowOff>41164</xdr:rowOff>
    </xdr:to>
    <xdr:pic>
      <xdr:nvPicPr>
        <xdr:cNvPr id="6" name="Imagen 5">
          <a:extLst>
            <a:ext uri="{FF2B5EF4-FFF2-40B4-BE49-F238E27FC236}">
              <a16:creationId xmlns=""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77340" y="30556201"/>
          <a:ext cx="1840390" cy="17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 xmlns:a16="http://schemas.microsoft.com/office/drawing/2014/main" id="{00000000-0008-0000-0E00-000007000000}"/>
            </a:ext>
          </a:extLst>
        </xdr:cNvPr>
        <xdr:cNvGrpSpPr>
          <a:grpSpLocks/>
        </xdr:cNvGrpSpPr>
      </xdr:nvGrpSpPr>
      <xdr:grpSpPr bwMode="auto">
        <a:xfrm>
          <a:off x="0" y="0"/>
          <a:ext cx="5316510" cy="1277615"/>
          <a:chOff x="57150" y="47625"/>
          <a:chExt cx="6316603" cy="1200288"/>
        </a:xfrm>
      </xdr:grpSpPr>
      <xdr:pic>
        <xdr:nvPicPr>
          <xdr:cNvPr id="8" name="1 Imagen" descr="ESCUDO-transp-lema-blanco.png">
            <a:extLst>
              <a:ext uri="{FF2B5EF4-FFF2-40B4-BE49-F238E27FC236}">
                <a16:creationId xmlns="" xmlns:a16="http://schemas.microsoft.com/office/drawing/2014/main" id="{00000000-0008-0000-0E00-000008000000}"/>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 xmlns:a16="http://schemas.microsoft.com/office/drawing/2014/main" id="{00000000-0008-0000-0E00-000009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518160</xdr:colOff>
      <xdr:row>91</xdr:row>
      <xdr:rowOff>0</xdr:rowOff>
    </xdr:from>
    <xdr:to>
      <xdr:col>2</xdr:col>
      <xdr:colOff>1920362</xdr:colOff>
      <xdr:row>92</xdr:row>
      <xdr:rowOff>83843</xdr:rowOff>
    </xdr:to>
    <xdr:pic>
      <xdr:nvPicPr>
        <xdr:cNvPr id="2" name="Imagen 1">
          <a:extLst>
            <a:ext uri="{FF2B5EF4-FFF2-40B4-BE49-F238E27FC236}">
              <a16:creationId xmlns=""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28696920"/>
          <a:ext cx="1402202"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0F00-000003000000}"/>
            </a:ext>
          </a:extLst>
        </xdr:cNvPr>
        <xdr:cNvGrpSpPr>
          <a:grpSpLocks/>
        </xdr:cNvGrpSpPr>
      </xdr:nvGrpSpPr>
      <xdr:grpSpPr bwMode="auto">
        <a:xfrm>
          <a:off x="0" y="0"/>
          <a:ext cx="5423424"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0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640080</xdr:colOff>
      <xdr:row>82</xdr:row>
      <xdr:rowOff>38100</xdr:rowOff>
    </xdr:from>
    <xdr:to>
      <xdr:col>2</xdr:col>
      <xdr:colOff>1680300</xdr:colOff>
      <xdr:row>83</xdr:row>
      <xdr:rowOff>68598</xdr:rowOff>
    </xdr:to>
    <xdr:pic>
      <xdr:nvPicPr>
        <xdr:cNvPr id="2" name="Imagen 1">
          <a:extLst>
            <a:ext uri="{FF2B5EF4-FFF2-40B4-BE49-F238E27FC236}">
              <a16:creationId xmlns=""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1660" y="29131260"/>
          <a:ext cx="1040220"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89</xdr:row>
      <xdr:rowOff>419100</xdr:rowOff>
    </xdr:from>
    <xdr:to>
      <xdr:col>2</xdr:col>
      <xdr:colOff>1752696</xdr:colOff>
      <xdr:row>91</xdr:row>
      <xdr:rowOff>152432</xdr:rowOff>
    </xdr:to>
    <xdr:pic>
      <xdr:nvPicPr>
        <xdr:cNvPr id="3" name="Imagen 2">
          <a:extLst>
            <a:ext uri="{FF2B5EF4-FFF2-40B4-BE49-F238E27FC236}">
              <a16:creationId xmlns=""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0" y="32285940"/>
          <a:ext cx="110499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000-000004000000}"/>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0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548641</xdr:colOff>
      <xdr:row>145</xdr:row>
      <xdr:rowOff>15240</xdr:rowOff>
    </xdr:from>
    <xdr:to>
      <xdr:col>2</xdr:col>
      <xdr:colOff>2088014</xdr:colOff>
      <xdr:row>146</xdr:row>
      <xdr:rowOff>137186</xdr:rowOff>
    </xdr:to>
    <xdr:pic>
      <xdr:nvPicPr>
        <xdr:cNvPr id="2" name="Imagen 1">
          <a:extLst>
            <a:ext uri="{FF2B5EF4-FFF2-40B4-BE49-F238E27FC236}">
              <a16:creationId xmlns=""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1" y="37421820"/>
          <a:ext cx="1539373"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1100-000003000000}"/>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1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0139660"/>
          <a:ext cx="1630821"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1200-000003000000}"/>
            </a:ext>
          </a:extLst>
        </xdr:cNvPr>
        <xdr:cNvGrpSpPr>
          <a:grpSpLocks/>
        </xdr:cNvGrpSpPr>
      </xdr:nvGrpSpPr>
      <xdr:grpSpPr bwMode="auto">
        <a:xfrm>
          <a:off x="0" y="0"/>
          <a:ext cx="5403985"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12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472440</xdr:colOff>
      <xdr:row>84</xdr:row>
      <xdr:rowOff>15240</xdr:rowOff>
    </xdr:from>
    <xdr:to>
      <xdr:col>2</xdr:col>
      <xdr:colOff>2110882</xdr:colOff>
      <xdr:row>85</xdr:row>
      <xdr:rowOff>137186</xdr:rowOff>
    </xdr:to>
    <xdr:pic>
      <xdr:nvPicPr>
        <xdr:cNvPr id="2" name="Imagen 1">
          <a:extLst>
            <a:ext uri="{FF2B5EF4-FFF2-40B4-BE49-F238E27FC236}">
              <a16:creationId xmlns=""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4020" y="23416260"/>
          <a:ext cx="163844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18</xdr:row>
      <xdr:rowOff>0</xdr:rowOff>
    </xdr:from>
    <xdr:to>
      <xdr:col>21</xdr:col>
      <xdr:colOff>675005</xdr:colOff>
      <xdr:row>61</xdr:row>
      <xdr:rowOff>73660</xdr:rowOff>
    </xdr:to>
    <xdr:graphicFrame macro="">
      <xdr:nvGraphicFramePr>
        <xdr:cNvPr id="3" name="Diagrama 2">
          <a:extLst>
            <a:ext uri="{FF2B5EF4-FFF2-40B4-BE49-F238E27FC236}">
              <a16:creationId xmlns="" xmlns:a16="http://schemas.microsoft.com/office/drawing/2014/main" id="{00000000-0008-0000-13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300-000004000000}"/>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647701</xdr:colOff>
      <xdr:row>81</xdr:row>
      <xdr:rowOff>68580</xdr:rowOff>
    </xdr:from>
    <xdr:to>
      <xdr:col>2</xdr:col>
      <xdr:colOff>1905110</xdr:colOff>
      <xdr:row>83</xdr:row>
      <xdr:rowOff>26</xdr:rowOff>
    </xdr:to>
    <xdr:pic>
      <xdr:nvPicPr>
        <xdr:cNvPr id="2" name="Imagen 1">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1" y="23789640"/>
          <a:ext cx="1257409"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723901</xdr:colOff>
      <xdr:row>88</xdr:row>
      <xdr:rowOff>53340</xdr:rowOff>
    </xdr:from>
    <xdr:to>
      <xdr:col>2</xdr:col>
      <xdr:colOff>1775552</xdr:colOff>
      <xdr:row>90</xdr:row>
      <xdr:rowOff>60992</xdr:rowOff>
    </xdr:to>
    <xdr:pic>
      <xdr:nvPicPr>
        <xdr:cNvPr id="3" name="Imagen 2">
          <a:extLst>
            <a:ext uri="{FF2B5EF4-FFF2-40B4-BE49-F238E27FC236}">
              <a16:creationId xmlns=""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1" y="25786080"/>
          <a:ext cx="105165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400-000004000000}"/>
            </a:ext>
          </a:extLst>
        </xdr:cNvPr>
        <xdr:cNvGrpSpPr>
          <a:grpSpLocks/>
        </xdr:cNvGrpSpPr>
      </xdr:nvGrpSpPr>
      <xdr:grpSpPr bwMode="auto">
        <a:xfrm>
          <a:off x="0" y="0"/>
          <a:ext cx="5491459"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4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762000</xdr:colOff>
      <xdr:row>90</xdr:row>
      <xdr:rowOff>106680</xdr:rowOff>
    </xdr:from>
    <xdr:to>
      <xdr:col>2</xdr:col>
      <xdr:colOff>1981306</xdr:colOff>
      <xdr:row>91</xdr:row>
      <xdr:rowOff>160040</xdr:rowOff>
    </xdr:to>
    <xdr:pic>
      <xdr:nvPicPr>
        <xdr:cNvPr id="2" name="Imagen 1">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44040" y="26692860"/>
          <a:ext cx="1219306"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96</xdr:row>
      <xdr:rowOff>419100</xdr:rowOff>
    </xdr:from>
    <xdr:to>
      <xdr:col>2</xdr:col>
      <xdr:colOff>1790796</xdr:colOff>
      <xdr:row>98</xdr:row>
      <xdr:rowOff>152432</xdr:rowOff>
    </xdr:to>
    <xdr:pic>
      <xdr:nvPicPr>
        <xdr:cNvPr id="3" name="Imagen 2">
          <a:extLst>
            <a:ext uri="{FF2B5EF4-FFF2-40B4-BE49-F238E27FC236}">
              <a16:creationId xmlns=""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5461" y="290169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500-000004000000}"/>
            </a:ext>
          </a:extLst>
        </xdr:cNvPr>
        <xdr:cNvGrpSpPr>
          <a:grpSpLocks/>
        </xdr:cNvGrpSpPr>
      </xdr:nvGrpSpPr>
      <xdr:grpSpPr bwMode="auto">
        <a:xfrm>
          <a:off x="0" y="0"/>
          <a:ext cx="5180439"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5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670561</xdr:colOff>
      <xdr:row>84</xdr:row>
      <xdr:rowOff>76200</xdr:rowOff>
    </xdr:from>
    <xdr:to>
      <xdr:col>2</xdr:col>
      <xdr:colOff>1790798</xdr:colOff>
      <xdr:row>85</xdr:row>
      <xdr:rowOff>129560</xdr:rowOff>
    </xdr:to>
    <xdr:pic>
      <xdr:nvPicPr>
        <xdr:cNvPr id="2" name="Imagen 1">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2141" y="27165300"/>
          <a:ext cx="1120237"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685801</xdr:colOff>
      <xdr:row>92</xdr:row>
      <xdr:rowOff>0</xdr:rowOff>
    </xdr:from>
    <xdr:to>
      <xdr:col>2</xdr:col>
      <xdr:colOff>1684108</xdr:colOff>
      <xdr:row>94</xdr:row>
      <xdr:rowOff>7652</xdr:rowOff>
    </xdr:to>
    <xdr:pic>
      <xdr:nvPicPr>
        <xdr:cNvPr id="3" name="Imagen 2">
          <a:extLst>
            <a:ext uri="{FF2B5EF4-FFF2-40B4-BE49-F238E27FC236}">
              <a16:creationId xmlns=""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97381" y="30319980"/>
          <a:ext cx="998307"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600-000004000000}"/>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6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51760</xdr:colOff>
      <xdr:row>0</xdr:row>
      <xdr:rowOff>86266</xdr:rowOff>
    </xdr:from>
    <xdr:to>
      <xdr:col>12</xdr:col>
      <xdr:colOff>940278</xdr:colOff>
      <xdr:row>0</xdr:row>
      <xdr:rowOff>1075636</xdr:rowOff>
    </xdr:to>
    <xdr:grpSp>
      <xdr:nvGrpSpPr>
        <xdr:cNvPr id="2" name="1 Grupo">
          <a:extLst>
            <a:ext uri="{FF2B5EF4-FFF2-40B4-BE49-F238E27FC236}">
              <a16:creationId xmlns="" xmlns:a16="http://schemas.microsoft.com/office/drawing/2014/main" id="{00000000-0008-0000-0100-000002000000}"/>
            </a:ext>
          </a:extLst>
        </xdr:cNvPr>
        <xdr:cNvGrpSpPr>
          <a:grpSpLocks/>
        </xdr:cNvGrpSpPr>
      </xdr:nvGrpSpPr>
      <xdr:grpSpPr bwMode="auto">
        <a:xfrm>
          <a:off x="51760" y="86266"/>
          <a:ext cx="7327418" cy="989370"/>
          <a:chOff x="87859" y="143285"/>
          <a:chExt cx="5532587" cy="1097111"/>
        </a:xfrm>
      </xdr:grpSpPr>
      <xdr:pic>
        <xdr:nvPicPr>
          <xdr:cNvPr id="3" name="1 Imagen" descr="ESCUDO-transp-lema-blanco.png">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87859" y="143285"/>
            <a:ext cx="839357" cy="1097111"/>
          </a:xfrm>
          <a:prstGeom prst="rect">
            <a:avLst/>
          </a:prstGeom>
          <a:noFill/>
          <a:ln w="9525">
            <a:noFill/>
            <a:miter lim="800000"/>
            <a:headEnd/>
            <a:tailEnd/>
          </a:ln>
        </xdr:spPr>
      </xdr:pic>
      <xdr:sp macro="" textlink="">
        <xdr:nvSpPr>
          <xdr:cNvPr id="4" name="3 CuadroTexto">
            <a:extLst>
              <a:ext uri="{FF2B5EF4-FFF2-40B4-BE49-F238E27FC236}">
                <a16:creationId xmlns="" xmlns:a16="http://schemas.microsoft.com/office/drawing/2014/main" id="{00000000-0008-0000-0100-000004000000}"/>
              </a:ext>
            </a:extLst>
          </xdr:cNvPr>
          <xdr:cNvSpPr txBox="1"/>
        </xdr:nvSpPr>
        <xdr:spPr>
          <a:xfrm>
            <a:off x="1211683" y="390076"/>
            <a:ext cx="4408763" cy="7384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426720</xdr:colOff>
      <xdr:row>79</xdr:row>
      <xdr:rowOff>53340</xdr:rowOff>
    </xdr:from>
    <xdr:to>
      <xdr:col>2</xdr:col>
      <xdr:colOff>2156610</xdr:colOff>
      <xdr:row>80</xdr:row>
      <xdr:rowOff>175286</xdr:rowOff>
    </xdr:to>
    <xdr:pic>
      <xdr:nvPicPr>
        <xdr:cNvPr id="2" name="Imagen 1">
          <a:extLst>
            <a:ext uri="{FF2B5EF4-FFF2-40B4-BE49-F238E27FC236}">
              <a16:creationId xmlns=""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8300" y="24704040"/>
          <a:ext cx="1729890"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716281</xdr:colOff>
      <xdr:row>88</xdr:row>
      <xdr:rowOff>0</xdr:rowOff>
    </xdr:from>
    <xdr:to>
      <xdr:col>2</xdr:col>
      <xdr:colOff>1813656</xdr:colOff>
      <xdr:row>90</xdr:row>
      <xdr:rowOff>7652</xdr:rowOff>
    </xdr:to>
    <xdr:pic>
      <xdr:nvPicPr>
        <xdr:cNvPr id="3" name="Imagen 2">
          <a:extLst>
            <a:ext uri="{FF2B5EF4-FFF2-40B4-BE49-F238E27FC236}">
              <a16:creationId xmlns=""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27861" y="280644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700-000004000000}"/>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7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518161</xdr:colOff>
      <xdr:row>87</xdr:row>
      <xdr:rowOff>449580</xdr:rowOff>
    </xdr:from>
    <xdr:to>
      <xdr:col>2</xdr:col>
      <xdr:colOff>2377602</xdr:colOff>
      <xdr:row>90</xdr:row>
      <xdr:rowOff>32</xdr:rowOff>
    </xdr:to>
    <xdr:pic>
      <xdr:nvPicPr>
        <xdr:cNvPr id="2" name="Imagen 1">
          <a:extLst>
            <a:ext uri="{FF2B5EF4-FFF2-40B4-BE49-F238E27FC236}">
              <a16:creationId xmlns=""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1" y="28986480"/>
          <a:ext cx="185944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1800-000003000000}"/>
            </a:ext>
          </a:extLst>
        </xdr:cNvPr>
        <xdr:cNvGrpSpPr>
          <a:grpSpLocks/>
        </xdr:cNvGrpSpPr>
      </xdr:nvGrpSpPr>
      <xdr:grpSpPr bwMode="auto">
        <a:xfrm>
          <a:off x="0" y="0"/>
          <a:ext cx="5510898"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18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556261</xdr:colOff>
      <xdr:row>63</xdr:row>
      <xdr:rowOff>0</xdr:rowOff>
    </xdr:from>
    <xdr:to>
      <xdr:col>2</xdr:col>
      <xdr:colOff>2088014</xdr:colOff>
      <xdr:row>64</xdr:row>
      <xdr:rowOff>83843</xdr:rowOff>
    </xdr:to>
    <xdr:pic>
      <xdr:nvPicPr>
        <xdr:cNvPr id="2" name="Imagen 1">
          <a:extLst>
            <a:ext uri="{FF2B5EF4-FFF2-40B4-BE49-F238E27FC236}">
              <a16:creationId xmlns=""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2913340"/>
          <a:ext cx="1531753"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1900-000003000000}"/>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19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868681</xdr:colOff>
      <xdr:row>104</xdr:row>
      <xdr:rowOff>15240</xdr:rowOff>
    </xdr:from>
    <xdr:to>
      <xdr:col>2</xdr:col>
      <xdr:colOff>1806022</xdr:colOff>
      <xdr:row>105</xdr:row>
      <xdr:rowOff>129566</xdr:rowOff>
    </xdr:to>
    <xdr:pic>
      <xdr:nvPicPr>
        <xdr:cNvPr id="2" name="Imagen 1">
          <a:extLst>
            <a:ext uri="{FF2B5EF4-FFF2-40B4-BE49-F238E27FC236}">
              <a16:creationId xmlns=""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39319200"/>
          <a:ext cx="93734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111</xdr:row>
      <xdr:rowOff>68580</xdr:rowOff>
    </xdr:from>
    <xdr:to>
      <xdr:col>3</xdr:col>
      <xdr:colOff>1021334</xdr:colOff>
      <xdr:row>113</xdr:row>
      <xdr:rowOff>26</xdr:rowOff>
    </xdr:to>
    <xdr:pic>
      <xdr:nvPicPr>
        <xdr:cNvPr id="3" name="Imagen 2">
          <a:extLst>
            <a:ext uri="{FF2B5EF4-FFF2-40B4-BE49-F238E27FC236}">
              <a16:creationId xmlns=""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1640" y="41689020"/>
          <a:ext cx="293395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A00-000004000000}"/>
            </a:ext>
          </a:extLst>
        </xdr:cNvPr>
        <xdr:cNvGrpSpPr>
          <a:grpSpLocks/>
        </xdr:cNvGrpSpPr>
      </xdr:nvGrpSpPr>
      <xdr:grpSpPr bwMode="auto">
        <a:xfrm>
          <a:off x="0" y="0"/>
          <a:ext cx="7211791"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A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182880</xdr:colOff>
      <xdr:row>126</xdr:row>
      <xdr:rowOff>144780</xdr:rowOff>
    </xdr:from>
    <xdr:to>
      <xdr:col>3</xdr:col>
      <xdr:colOff>1112808</xdr:colOff>
      <xdr:row>126</xdr:row>
      <xdr:rowOff>281952</xdr:rowOff>
    </xdr:to>
    <xdr:pic>
      <xdr:nvPicPr>
        <xdr:cNvPr id="2" name="Imagen 1">
          <a:extLst>
            <a:ext uri="{FF2B5EF4-FFF2-40B4-BE49-F238E27FC236}">
              <a16:creationId xmlns=""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4460" y="48943260"/>
          <a:ext cx="332260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754380</xdr:colOff>
      <xdr:row>139</xdr:row>
      <xdr:rowOff>7620</xdr:rowOff>
    </xdr:from>
    <xdr:to>
      <xdr:col>3</xdr:col>
      <xdr:colOff>1089896</xdr:colOff>
      <xdr:row>139</xdr:row>
      <xdr:rowOff>251481</xdr:rowOff>
    </xdr:to>
    <xdr:pic>
      <xdr:nvPicPr>
        <xdr:cNvPr id="3" name="Imagen 2">
          <a:extLst>
            <a:ext uri="{FF2B5EF4-FFF2-40B4-BE49-F238E27FC236}">
              <a16:creationId xmlns=""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65960" y="53393340"/>
          <a:ext cx="2728196" cy="243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B00-000004000000}"/>
            </a:ext>
          </a:extLst>
        </xdr:cNvPr>
        <xdr:cNvGrpSpPr>
          <a:grpSpLocks/>
        </xdr:cNvGrpSpPr>
      </xdr:nvGrpSpPr>
      <xdr:grpSpPr bwMode="auto">
        <a:xfrm>
          <a:off x="0" y="0"/>
          <a:ext cx="6171817"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B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182880</xdr:colOff>
      <xdr:row>113</xdr:row>
      <xdr:rowOff>91440</xdr:rowOff>
    </xdr:from>
    <xdr:to>
      <xdr:col>3</xdr:col>
      <xdr:colOff>998498</xdr:colOff>
      <xdr:row>113</xdr:row>
      <xdr:rowOff>228612</xdr:rowOff>
    </xdr:to>
    <xdr:pic>
      <xdr:nvPicPr>
        <xdr:cNvPr id="2" name="Imagen 1">
          <a:extLst>
            <a:ext uri="{FF2B5EF4-FFF2-40B4-BE49-F238E27FC236}">
              <a16:creationId xmlns=""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2540" y="40934640"/>
          <a:ext cx="320829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126</xdr:row>
      <xdr:rowOff>0</xdr:rowOff>
    </xdr:from>
    <xdr:to>
      <xdr:col>3</xdr:col>
      <xdr:colOff>922268</xdr:colOff>
      <xdr:row>127</xdr:row>
      <xdr:rowOff>114326</xdr:rowOff>
    </xdr:to>
    <xdr:pic>
      <xdr:nvPicPr>
        <xdr:cNvPr id="3" name="Imagen 2">
          <a:extLst>
            <a:ext uri="{FF2B5EF4-FFF2-40B4-BE49-F238E27FC236}">
              <a16:creationId xmlns=""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45674280"/>
          <a:ext cx="2850127"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C00-000004000000}"/>
            </a:ext>
          </a:extLst>
        </xdr:cNvPr>
        <xdr:cNvGrpSpPr>
          <a:grpSpLocks/>
        </xdr:cNvGrpSpPr>
      </xdr:nvGrpSpPr>
      <xdr:grpSpPr bwMode="auto">
        <a:xfrm>
          <a:off x="0" y="0"/>
          <a:ext cx="5578934"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C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36568380"/>
          <a:ext cx="6172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1D00-000003000000}"/>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1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548640</xdr:colOff>
      <xdr:row>162</xdr:row>
      <xdr:rowOff>15240</xdr:rowOff>
    </xdr:from>
    <xdr:to>
      <xdr:col>2</xdr:col>
      <xdr:colOff>2232806</xdr:colOff>
      <xdr:row>164</xdr:row>
      <xdr:rowOff>22892</xdr:rowOff>
    </xdr:to>
    <xdr:pic>
      <xdr:nvPicPr>
        <xdr:cNvPr id="2" name="Imagen 1">
          <a:extLst>
            <a:ext uri="{FF2B5EF4-FFF2-40B4-BE49-F238E27FC236}">
              <a16:creationId xmlns=""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45026580"/>
          <a:ext cx="168416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723900</xdr:colOff>
      <xdr:row>169</xdr:row>
      <xdr:rowOff>53340</xdr:rowOff>
    </xdr:from>
    <xdr:to>
      <xdr:col>2</xdr:col>
      <xdr:colOff>2087998</xdr:colOff>
      <xdr:row>170</xdr:row>
      <xdr:rowOff>160045</xdr:rowOff>
    </xdr:to>
    <xdr:pic>
      <xdr:nvPicPr>
        <xdr:cNvPr id="3" name="Imagen 2">
          <a:extLst>
            <a:ext uri="{FF2B5EF4-FFF2-40B4-BE49-F238E27FC236}">
              <a16:creationId xmlns=""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0" y="48112680"/>
          <a:ext cx="1364098" cy="28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1E00-000004000000}"/>
            </a:ext>
          </a:extLst>
        </xdr:cNvPr>
        <xdr:cNvGrpSpPr>
          <a:grpSpLocks/>
        </xdr:cNvGrpSpPr>
      </xdr:nvGrpSpPr>
      <xdr:grpSpPr bwMode="auto">
        <a:xfrm>
          <a:off x="0" y="0"/>
          <a:ext cx="5316510"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1E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1E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44981" y="22181820"/>
          <a:ext cx="1486029"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1F00-000003000000}"/>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1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1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609600</xdr:colOff>
      <xdr:row>80</xdr:row>
      <xdr:rowOff>91440</xdr:rowOff>
    </xdr:from>
    <xdr:to>
      <xdr:col>2</xdr:col>
      <xdr:colOff>2088008</xdr:colOff>
      <xdr:row>81</xdr:row>
      <xdr:rowOff>175283</xdr:rowOff>
    </xdr:to>
    <xdr:pic>
      <xdr:nvPicPr>
        <xdr:cNvPr id="2" name="Imagen 1">
          <a:extLst>
            <a:ext uri="{FF2B5EF4-FFF2-40B4-BE49-F238E27FC236}">
              <a16:creationId xmlns=""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1180" y="43990260"/>
          <a:ext cx="1478408"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2000-000003000000}"/>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20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4" name="1 Imagen" descr="ESCUDO-transp-lema-blanco.png">
          <a:extLst>
            <a:ext uri="{FF2B5EF4-FFF2-40B4-BE49-F238E27FC236}">
              <a16:creationId xmlns="" xmlns:a16="http://schemas.microsoft.com/office/drawing/2014/main" id="{CC3454E8-27FB-4C34-8274-7862C422C61A}"/>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09675" cy="158115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5" name="3 CuadroTexto">
          <a:extLst>
            <a:ext uri="{FF2B5EF4-FFF2-40B4-BE49-F238E27FC236}">
              <a16:creationId xmlns="" xmlns:a16="http://schemas.microsoft.com/office/drawing/2014/main" id="{DAC75E31-9F83-4903-ACF3-9E2B41611884}"/>
            </a:ext>
          </a:extLst>
        </xdr:cNvPr>
        <xdr:cNvSpPr txBox="1"/>
      </xdr:nvSpPr>
      <xdr:spPr bwMode="auto">
        <a:xfrm>
          <a:off x="1266825" y="428625"/>
          <a:ext cx="4926761"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0</xdr:colOff>
      <xdr:row>0</xdr:row>
      <xdr:rowOff>0</xdr:rowOff>
    </xdr:from>
    <xdr:to>
      <xdr:col>0</xdr:col>
      <xdr:colOff>1209675</xdr:colOff>
      <xdr:row>0</xdr:row>
      <xdr:rowOff>1581150</xdr:rowOff>
    </xdr:to>
    <xdr:pic>
      <xdr:nvPicPr>
        <xdr:cNvPr id="6" name="1 Imagen" descr="ESCUDO-transp-lema-blanco.png">
          <a:extLst>
            <a:ext uri="{FF2B5EF4-FFF2-40B4-BE49-F238E27FC236}">
              <a16:creationId xmlns="" xmlns:a16="http://schemas.microsoft.com/office/drawing/2014/main" id="{1FA4DF99-198A-43DC-8DAD-6F4702F0167E}"/>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09675" cy="158115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7" name="3 CuadroTexto">
          <a:extLst>
            <a:ext uri="{FF2B5EF4-FFF2-40B4-BE49-F238E27FC236}">
              <a16:creationId xmlns="" xmlns:a16="http://schemas.microsoft.com/office/drawing/2014/main" id="{C57F1A09-4EF7-4C1D-A634-14C8208115D7}"/>
            </a:ext>
          </a:extLst>
        </xdr:cNvPr>
        <xdr:cNvSpPr txBox="1"/>
      </xdr:nvSpPr>
      <xdr:spPr bwMode="auto">
        <a:xfrm>
          <a:off x="1266825" y="428625"/>
          <a:ext cx="4926761"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3961" y="34838640"/>
          <a:ext cx="20857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2100-000003000000}"/>
            </a:ext>
          </a:extLst>
        </xdr:cNvPr>
        <xdr:cNvGrpSpPr>
          <a:grpSpLocks/>
        </xdr:cNvGrpSpPr>
      </xdr:nvGrpSpPr>
      <xdr:grpSpPr bwMode="auto">
        <a:xfrm>
          <a:off x="0" y="0"/>
          <a:ext cx="5180439"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2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47343060"/>
          <a:ext cx="166878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56639460"/>
          <a:ext cx="122682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41232" y="37480352"/>
          <a:ext cx="1539373"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 xmlns:a16="http://schemas.microsoft.com/office/drawing/2014/main" id="{00000000-0008-0000-2200-000005000000}"/>
            </a:ext>
          </a:extLst>
        </xdr:cNvPr>
        <xdr:cNvGrpSpPr>
          <a:grpSpLocks/>
        </xdr:cNvGrpSpPr>
      </xdr:nvGrpSpPr>
      <xdr:grpSpPr bwMode="auto">
        <a:xfrm>
          <a:off x="0" y="0"/>
          <a:ext cx="5326230" cy="1277615"/>
          <a:chOff x="57150" y="47625"/>
          <a:chExt cx="6316603" cy="1200288"/>
        </a:xfrm>
      </xdr:grpSpPr>
      <xdr:pic>
        <xdr:nvPicPr>
          <xdr:cNvPr id="6" name="1 Imagen" descr="ESCUDO-transp-lema-blanco.png">
            <a:extLst>
              <a:ext uri="{FF2B5EF4-FFF2-40B4-BE49-F238E27FC236}">
                <a16:creationId xmlns="" xmlns:a16="http://schemas.microsoft.com/office/drawing/2014/main" id="{00000000-0008-0000-2200-000006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 xmlns:a16="http://schemas.microsoft.com/office/drawing/2014/main" id="{00000000-0008-0000-2200-000007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160021</xdr:colOff>
      <xdr:row>91</xdr:row>
      <xdr:rowOff>45720</xdr:rowOff>
    </xdr:from>
    <xdr:to>
      <xdr:col>2</xdr:col>
      <xdr:colOff>2021748</xdr:colOff>
      <xdr:row>91</xdr:row>
      <xdr:rowOff>141740</xdr:rowOff>
    </xdr:to>
    <xdr:pic>
      <xdr:nvPicPr>
        <xdr:cNvPr id="2" name="Imagen 1">
          <a:extLst>
            <a:ext uri="{FF2B5EF4-FFF2-40B4-BE49-F238E27FC236}">
              <a16:creationId xmlns=""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6821" y="28735020"/>
          <a:ext cx="18617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563880</xdr:colOff>
      <xdr:row>104</xdr:row>
      <xdr:rowOff>60960</xdr:rowOff>
    </xdr:from>
    <xdr:to>
      <xdr:col>3</xdr:col>
      <xdr:colOff>777466</xdr:colOff>
      <xdr:row>105</xdr:row>
      <xdr:rowOff>175286</xdr:rowOff>
    </xdr:to>
    <xdr:pic>
      <xdr:nvPicPr>
        <xdr:cNvPr id="3" name="Imagen 2">
          <a:extLst>
            <a:ext uri="{FF2B5EF4-FFF2-40B4-BE49-F238E27FC236}">
              <a16:creationId xmlns=""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0680" y="32590740"/>
          <a:ext cx="2606266"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00000000-0008-0000-2300-000004000000}"/>
            </a:ext>
          </a:extLst>
        </xdr:cNvPr>
        <xdr:cNvGrpSpPr>
          <a:grpSpLocks/>
        </xdr:cNvGrpSpPr>
      </xdr:nvGrpSpPr>
      <xdr:grpSpPr bwMode="auto">
        <a:xfrm>
          <a:off x="0" y="0"/>
          <a:ext cx="5219317" cy="1277615"/>
          <a:chOff x="57150" y="47625"/>
          <a:chExt cx="6316603" cy="1200288"/>
        </a:xfrm>
      </xdr:grpSpPr>
      <xdr:pic>
        <xdr:nvPicPr>
          <xdr:cNvPr id="5" name="1 Imagen" descr="ESCUDO-transp-lema-blanco.png">
            <a:extLst>
              <a:ext uri="{FF2B5EF4-FFF2-40B4-BE49-F238E27FC236}">
                <a16:creationId xmlns=""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00000000-0008-0000-2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xdr:col>
      <xdr:colOff>571500</xdr:colOff>
      <xdr:row>0</xdr:row>
      <xdr:rowOff>1752600</xdr:rowOff>
    </xdr:to>
    <xdr:pic>
      <xdr:nvPicPr>
        <xdr:cNvPr id="2" name="1 Imagen" descr="ESCUDO-transp-lema-blanco.png">
          <a:extLst>
            <a:ext uri="{FF2B5EF4-FFF2-40B4-BE49-F238E27FC236}">
              <a16:creationId xmlns="" xmlns:a16="http://schemas.microsoft.com/office/drawing/2014/main" id="{294BE601-349B-4A6E-9F13-CB13A0BA46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11144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643890</xdr:colOff>
      <xdr:row>0</xdr:row>
      <xdr:rowOff>381000</xdr:rowOff>
    </xdr:from>
    <xdr:to>
      <xdr:col>4</xdr:col>
      <xdr:colOff>59571</xdr:colOff>
      <xdr:row>0</xdr:row>
      <xdr:rowOff>1377822</xdr:rowOff>
    </xdr:to>
    <xdr:sp macro="" textlink="">
      <xdr:nvSpPr>
        <xdr:cNvPr id="3" name="5 CuadroTexto">
          <a:extLst>
            <a:ext uri="{FF2B5EF4-FFF2-40B4-BE49-F238E27FC236}">
              <a16:creationId xmlns="" xmlns:a16="http://schemas.microsoft.com/office/drawing/2014/main" id="{62D01237-237D-4224-A30D-220D50844CEA}"/>
            </a:ext>
          </a:extLst>
        </xdr:cNvPr>
        <xdr:cNvSpPr txBox="1"/>
      </xdr:nvSpPr>
      <xdr:spPr bwMode="auto">
        <a:xfrm>
          <a:off x="1310640" y="381000"/>
          <a:ext cx="2416056" cy="996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123825</xdr:colOff>
      <xdr:row>0</xdr:row>
      <xdr:rowOff>104775</xdr:rowOff>
    </xdr:from>
    <xdr:to>
      <xdr:col>1</xdr:col>
      <xdr:colOff>571500</xdr:colOff>
      <xdr:row>0</xdr:row>
      <xdr:rowOff>1752600</xdr:rowOff>
    </xdr:to>
    <xdr:pic>
      <xdr:nvPicPr>
        <xdr:cNvPr id="4" name="1 Imagen" descr="ESCUDO-transp-lema-blanco.png">
          <a:extLst>
            <a:ext uri="{FF2B5EF4-FFF2-40B4-BE49-F238E27FC236}">
              <a16:creationId xmlns="" xmlns:a16="http://schemas.microsoft.com/office/drawing/2014/main" id="{E322ED43-C284-46EC-A90C-FC7465ED36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11144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643890</xdr:colOff>
      <xdr:row>0</xdr:row>
      <xdr:rowOff>381000</xdr:rowOff>
    </xdr:from>
    <xdr:to>
      <xdr:col>4</xdr:col>
      <xdr:colOff>59571</xdr:colOff>
      <xdr:row>0</xdr:row>
      <xdr:rowOff>1377822</xdr:rowOff>
    </xdr:to>
    <xdr:sp macro="" textlink="">
      <xdr:nvSpPr>
        <xdr:cNvPr id="5" name="5 CuadroTexto">
          <a:extLst>
            <a:ext uri="{FF2B5EF4-FFF2-40B4-BE49-F238E27FC236}">
              <a16:creationId xmlns="" xmlns:a16="http://schemas.microsoft.com/office/drawing/2014/main" id="{F5321487-A963-4808-8B57-807D67123E18}"/>
            </a:ext>
          </a:extLst>
        </xdr:cNvPr>
        <xdr:cNvSpPr txBox="1"/>
      </xdr:nvSpPr>
      <xdr:spPr bwMode="auto">
        <a:xfrm>
          <a:off x="1310640" y="381000"/>
          <a:ext cx="2416056" cy="996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123825</xdr:colOff>
      <xdr:row>0</xdr:row>
      <xdr:rowOff>104775</xdr:rowOff>
    </xdr:from>
    <xdr:to>
      <xdr:col>1</xdr:col>
      <xdr:colOff>571500</xdr:colOff>
      <xdr:row>0</xdr:row>
      <xdr:rowOff>1752600</xdr:rowOff>
    </xdr:to>
    <xdr:pic>
      <xdr:nvPicPr>
        <xdr:cNvPr id="6" name="1 Imagen" descr="ESCUDO-transp-lema-blanco.png">
          <a:extLst>
            <a:ext uri="{FF2B5EF4-FFF2-40B4-BE49-F238E27FC236}">
              <a16:creationId xmlns="" xmlns:a16="http://schemas.microsoft.com/office/drawing/2014/main" id="{CE5FE49E-D2E6-4083-82C9-BA282D3414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11144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643890</xdr:colOff>
      <xdr:row>0</xdr:row>
      <xdr:rowOff>381000</xdr:rowOff>
    </xdr:from>
    <xdr:to>
      <xdr:col>4</xdr:col>
      <xdr:colOff>59571</xdr:colOff>
      <xdr:row>0</xdr:row>
      <xdr:rowOff>1377822</xdr:rowOff>
    </xdr:to>
    <xdr:sp macro="" textlink="">
      <xdr:nvSpPr>
        <xdr:cNvPr id="7" name="5 CuadroTexto">
          <a:extLst>
            <a:ext uri="{FF2B5EF4-FFF2-40B4-BE49-F238E27FC236}">
              <a16:creationId xmlns="" xmlns:a16="http://schemas.microsoft.com/office/drawing/2014/main" id="{A3284265-6B5D-4DB3-A7EB-E1DFABF5087D}"/>
            </a:ext>
          </a:extLst>
        </xdr:cNvPr>
        <xdr:cNvSpPr txBox="1"/>
      </xdr:nvSpPr>
      <xdr:spPr bwMode="auto">
        <a:xfrm>
          <a:off x="1310640" y="381000"/>
          <a:ext cx="2416056" cy="996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123825</xdr:colOff>
      <xdr:row>0</xdr:row>
      <xdr:rowOff>104775</xdr:rowOff>
    </xdr:from>
    <xdr:to>
      <xdr:col>1</xdr:col>
      <xdr:colOff>571500</xdr:colOff>
      <xdr:row>0</xdr:row>
      <xdr:rowOff>1752600</xdr:rowOff>
    </xdr:to>
    <xdr:pic>
      <xdr:nvPicPr>
        <xdr:cNvPr id="8" name="1 Imagen" descr="ESCUDO-transp-lema-blanco.png">
          <a:extLst>
            <a:ext uri="{FF2B5EF4-FFF2-40B4-BE49-F238E27FC236}">
              <a16:creationId xmlns="" xmlns:a16="http://schemas.microsoft.com/office/drawing/2014/main" id="{6D95BFCF-6BDC-43D9-BAEF-A56A6DB2C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11144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643890</xdr:colOff>
      <xdr:row>0</xdr:row>
      <xdr:rowOff>381000</xdr:rowOff>
    </xdr:from>
    <xdr:to>
      <xdr:col>4</xdr:col>
      <xdr:colOff>59571</xdr:colOff>
      <xdr:row>0</xdr:row>
      <xdr:rowOff>1377822</xdr:rowOff>
    </xdr:to>
    <xdr:sp macro="" textlink="">
      <xdr:nvSpPr>
        <xdr:cNvPr id="9" name="5 CuadroTexto">
          <a:extLst>
            <a:ext uri="{FF2B5EF4-FFF2-40B4-BE49-F238E27FC236}">
              <a16:creationId xmlns="" xmlns:a16="http://schemas.microsoft.com/office/drawing/2014/main" id="{A65664D8-C19B-4680-90A2-8574EBA9D4B4}"/>
            </a:ext>
          </a:extLst>
        </xdr:cNvPr>
        <xdr:cNvSpPr txBox="1"/>
      </xdr:nvSpPr>
      <xdr:spPr bwMode="auto">
        <a:xfrm>
          <a:off x="1310640" y="381000"/>
          <a:ext cx="2416056" cy="996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2" name="1 Grupo">
          <a:extLst>
            <a:ext uri="{FF2B5EF4-FFF2-40B4-BE49-F238E27FC236}">
              <a16:creationId xmlns="" xmlns:a16="http://schemas.microsoft.com/office/drawing/2014/main" id="{00000000-0008-0000-0800-000002000000}"/>
            </a:ext>
          </a:extLst>
        </xdr:cNvPr>
        <xdr:cNvGrpSpPr>
          <a:grpSpLocks/>
        </xdr:cNvGrpSpPr>
      </xdr:nvGrpSpPr>
      <xdr:grpSpPr bwMode="auto">
        <a:xfrm>
          <a:off x="0" y="0"/>
          <a:ext cx="6062266" cy="1656953"/>
          <a:chOff x="57150" y="47625"/>
          <a:chExt cx="6181725" cy="1581150"/>
        </a:xfrm>
      </xdr:grpSpPr>
      <xdr:pic>
        <xdr:nvPicPr>
          <xdr:cNvPr id="3" name="1 Imagen" descr="ESCUDO-transp-lema-blanco.png">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a:extLst>
              <a:ext uri="{FF2B5EF4-FFF2-40B4-BE49-F238E27FC236}">
                <a16:creationId xmlns="" xmlns:a16="http://schemas.microsoft.com/office/drawing/2014/main" id="{00000000-0008-0000-0800-000004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167</xdr:row>
      <xdr:rowOff>167640</xdr:rowOff>
    </xdr:from>
    <xdr:to>
      <xdr:col>5</xdr:col>
      <xdr:colOff>84107</xdr:colOff>
      <xdr:row>168</xdr:row>
      <xdr:rowOff>121932</xdr:rowOff>
    </xdr:to>
    <xdr:pic>
      <xdr:nvPicPr>
        <xdr:cNvPr id="2" name="Imagen 1">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1580" y="2763774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202</xdr:row>
      <xdr:rowOff>38100</xdr:rowOff>
    </xdr:from>
    <xdr:to>
      <xdr:col>3</xdr:col>
      <xdr:colOff>1257378</xdr:colOff>
      <xdr:row>203</xdr:row>
      <xdr:rowOff>68598</xdr:rowOff>
    </xdr:to>
    <xdr:pic>
      <xdr:nvPicPr>
        <xdr:cNvPr id="3" name="Imagen 2">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84961" y="34404300"/>
          <a:ext cx="883997"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210</xdr:row>
      <xdr:rowOff>38100</xdr:rowOff>
    </xdr:from>
    <xdr:to>
      <xdr:col>3</xdr:col>
      <xdr:colOff>1691776</xdr:colOff>
      <xdr:row>210</xdr:row>
      <xdr:rowOff>335306</xdr:rowOff>
    </xdr:to>
    <xdr:pic>
      <xdr:nvPicPr>
        <xdr:cNvPr id="4" name="Imagen 3">
          <a:extLst>
            <a:ext uri="{FF2B5EF4-FFF2-40B4-BE49-F238E27FC236}">
              <a16:creationId xmlns=""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8741" y="35684460"/>
          <a:ext cx="1554615"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102</xdr:row>
      <xdr:rowOff>53340</xdr:rowOff>
    </xdr:from>
    <xdr:to>
      <xdr:col>5</xdr:col>
      <xdr:colOff>312708</xdr:colOff>
      <xdr:row>102</xdr:row>
      <xdr:rowOff>190512</xdr:rowOff>
    </xdr:to>
    <xdr:pic>
      <xdr:nvPicPr>
        <xdr:cNvPr id="5" name="Imagen 4">
          <a:extLst>
            <a:ext uri="{FF2B5EF4-FFF2-40B4-BE49-F238E27FC236}">
              <a16:creationId xmlns=""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0181" y="1358646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a:extLst>
            <a:ext uri="{FF2B5EF4-FFF2-40B4-BE49-F238E27FC236}">
              <a16:creationId xmlns="" xmlns:a16="http://schemas.microsoft.com/office/drawing/2014/main" id="{00000000-0008-0000-0900-000006000000}"/>
            </a:ext>
          </a:extLst>
        </xdr:cNvPr>
        <xdr:cNvGrpSpPr>
          <a:grpSpLocks/>
        </xdr:cNvGrpSpPr>
      </xdr:nvGrpSpPr>
      <xdr:grpSpPr bwMode="auto">
        <a:xfrm>
          <a:off x="0" y="0"/>
          <a:ext cx="5472021" cy="1261675"/>
          <a:chOff x="57150" y="47625"/>
          <a:chExt cx="6316603" cy="1200288"/>
        </a:xfrm>
      </xdr:grpSpPr>
      <xdr:pic>
        <xdr:nvPicPr>
          <xdr:cNvPr id="7" name="1 Imagen" descr="ESCUDO-transp-lema-blanco.png">
            <a:extLst>
              <a:ext uri="{FF2B5EF4-FFF2-40B4-BE49-F238E27FC236}">
                <a16:creationId xmlns=""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 xmlns:a16="http://schemas.microsoft.com/office/drawing/2014/main" id="{00000000-0008-0000-0900-000008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601981</xdr:colOff>
      <xdr:row>69</xdr:row>
      <xdr:rowOff>0</xdr:rowOff>
    </xdr:from>
    <xdr:to>
      <xdr:col>3</xdr:col>
      <xdr:colOff>2065148</xdr:colOff>
      <xdr:row>70</xdr:row>
      <xdr:rowOff>83843</xdr:rowOff>
    </xdr:to>
    <xdr:pic>
      <xdr:nvPicPr>
        <xdr:cNvPr id="2" name="Imagen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1" y="16245840"/>
          <a:ext cx="1463167"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0A00-000003000000}"/>
            </a:ext>
          </a:extLst>
        </xdr:cNvPr>
        <xdr:cNvGrpSpPr>
          <a:grpSpLocks/>
        </xdr:cNvGrpSpPr>
      </xdr:nvGrpSpPr>
      <xdr:grpSpPr bwMode="auto">
        <a:xfrm>
          <a:off x="0" y="0"/>
          <a:ext cx="5394266"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0A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9592" y="19244388"/>
          <a:ext cx="1585707" cy="27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0B00-000003000000}"/>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0B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20193000"/>
          <a:ext cx="1165961"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00000000-0008-0000-0C00-000003000000}"/>
            </a:ext>
          </a:extLst>
        </xdr:cNvPr>
        <xdr:cNvGrpSpPr>
          <a:grpSpLocks/>
        </xdr:cNvGrpSpPr>
      </xdr:nvGrpSpPr>
      <xdr:grpSpPr bwMode="auto">
        <a:xfrm>
          <a:off x="0" y="0"/>
          <a:ext cx="5316510" cy="1277615"/>
          <a:chOff x="57150" y="47625"/>
          <a:chExt cx="6316603" cy="1200288"/>
        </a:xfrm>
      </xdr:grpSpPr>
      <xdr:pic>
        <xdr:nvPicPr>
          <xdr:cNvPr id="4" name="1 Imagen" descr="ESCUDO-transp-lema-blanco.png">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00000000-0008-0000-0C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rlos%20A/Documents/PC%20CARLOS/CORPAMAG/SEGUIMIENTO%20METAS%20PAI%202020-2023/INFORMES%20SEGUIMIENTO%202020%20PAI/SOPORTES%20INFORMES%20SS%202020/MATRIZ%20DE%20SEGUIMIENTO%20II%20SEM%202020%20neyl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rchivos/Descargas/9_feb_Formatos%20SINA%20-%20PAI%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chivos/Documentos/MADS/2022/INFORMES%20DE%20GESTI&#211;N%202021/2_CRA/AJUSTES%20CRA_06052022/2.%20Formatos%20SINA%20-%20PAI%202021-%20C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rchivos/Documentos/MADS/2022/INFORMES%20DE%20GESTI&#211;N%202021/5_CORPAMAG/Ajustes%20Gestion_10052022/MATRIZ%20DE%20SEGUIMIENTO%20II%20SEM%202021%20CORPAMAG-MADS%20CARdinal%200405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TRIZ%20CARdinal_II%20SEMESTRE%202022_CORPAMAG%20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Informe Ingreso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GRESOS (2)"/>
      <sheetName val="INGRESOS"/>
      <sheetName val="Hoja3"/>
      <sheetName val="informe Gastos"/>
      <sheetName val="Hoja2"/>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33">
          <cell r="D33" t="str">
            <v>SI APLICA</v>
          </cell>
          <cell r="F33" t="str">
            <v>SI SE REPORTA</v>
          </cell>
        </row>
        <row r="34">
          <cell r="D34" t="str">
            <v>NO APLICA</v>
          </cell>
          <cell r="F34" t="str">
            <v>NO SE REPORTA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 Inf Gest- Cons. Direc"/>
      <sheetName val="Anexo 1- Inf Gest- CARdinal"/>
      <sheetName val="Hoja1"/>
      <sheetName val="Anexo2 Protocolo Inf Gestión GD"/>
      <sheetName val="Anexo 5.1 INGRESOS (2)"/>
      <sheetName val="PROTOCOLO INGRESOS (2)"/>
      <sheetName val="Anexo 5.2. informe Gastos"/>
      <sheetName val="Anexo 5.2-A. Gastos"/>
      <sheetName val="Protocolo Gasto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Anexo 1 Matriz Inf Gestión CARd"/>
      <sheetName val="Anexo 2 Protocolo Inf Gestión"/>
      <sheetName val="Hoja1"/>
      <sheetName val="Informe Ingresos"/>
      <sheetName val="PROTOCOLO INGRESOS"/>
      <sheetName val="informe Gastos"/>
      <sheetName val="PROTOCOLO GASTOS"/>
      <sheetName val="Anexo 5.2A"/>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3">
          <cell r="D33" t="str">
            <v>SI APLICA</v>
          </cell>
          <cell r="F33" t="str">
            <v>SI SE REPORTA</v>
          </cell>
        </row>
        <row r="34">
          <cell r="D34" t="str">
            <v>NO APLICA</v>
          </cell>
          <cell r="F34" t="str">
            <v>NO SE REPORTA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Matriz Inf Gestión "/>
      <sheetName val="Evidencias ejec SEM I-2022"/>
      <sheetName val="Anexo 5.1 INGRESOS"/>
      <sheetName val="Anexo 5.2. informe Gastos"/>
      <sheetName val="Anexo 5.2A_REV"/>
    </sheetNames>
    <sheetDataSet>
      <sheetData sheetId="0"/>
      <sheetData sheetId="1">
        <row r="13">
          <cell r="AJ13">
            <v>15000000</v>
          </cell>
        </row>
        <row r="17">
          <cell r="AJ17">
            <v>80000000</v>
          </cell>
        </row>
        <row r="80">
          <cell r="AJ80">
            <v>500000000</v>
          </cell>
        </row>
        <row r="81">
          <cell r="AJ81">
            <v>500000000</v>
          </cell>
        </row>
        <row r="94">
          <cell r="AJ94">
            <v>0</v>
          </cell>
        </row>
        <row r="95">
          <cell r="AJ95">
            <v>0</v>
          </cell>
        </row>
        <row r="96">
          <cell r="AJ96" t="str">
            <v>$ 0</v>
          </cell>
        </row>
        <row r="97">
          <cell r="AJ97">
            <v>80000000</v>
          </cell>
        </row>
        <row r="98">
          <cell r="AJ98" t="str">
            <v>$ 0</v>
          </cell>
        </row>
        <row r="99">
          <cell r="AJ99" t="str">
            <v>$ 0</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lsepulveda@corpamag.gov.co"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amartinez@corpamag.gov.co"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amartinez@corpamag.gov.co"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amartinez@corpamag.gov.co"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lsepulveda@corpamag.gov.co"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cambioclimatico.minambiente.gov.co/"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lsepulveda@corpamag.gov.co"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lsepulveda@corpamag.gov.co"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amartinez@corpamag.gov.co"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amartinez@corpamag.gov.co"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lsepulveda@corpamag.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amartinez@corpamag.gov.co"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amartinez@corpamag.gov.co"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amartinez@corpamag.gov.co"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enexy.troncoso@corpamag.gov.co" TargetMode="External"/><Relationship Id="rId1" Type="http://schemas.openxmlformats.org/officeDocument/2006/relationships/hyperlink" Target="https://www.minambiente.gov.co/index.php/ambientes-y-desarrollos-sostenibles/negocios-verdes-y-sostenibles" TargetMode="External"/><Relationship Id="rId4"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amartinez@corpamag.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amartinez@corpamag.gov.co"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amartinez@corpamag.gov.co"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lsepulveda@corpamag.gov.co"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svillegas@corpamag.gov.co"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lsepulveda@corpamag.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workbookViewId="0">
      <selection activeCell="C16" sqref="C16"/>
    </sheetView>
  </sheetViews>
  <sheetFormatPr baseColWidth="10" defaultRowHeight="15" x14ac:dyDescent="0.25"/>
  <cols>
    <col min="1" max="1" width="5.85546875" customWidth="1"/>
    <col min="2" max="2" width="44.28515625" customWidth="1"/>
    <col min="3" max="3" width="68.7109375" customWidth="1"/>
    <col min="6" max="6" width="0" hidden="1" customWidth="1"/>
    <col min="7" max="10" width="11.28515625" hidden="1" customWidth="1"/>
    <col min="11" max="11" width="0" hidden="1" customWidth="1"/>
  </cols>
  <sheetData>
    <row r="1" spans="1:18" s="396" customFormat="1" ht="130.69999999999999" customHeight="1" thickBot="1" x14ac:dyDescent="0.3">
      <c r="A1" s="436"/>
      <c r="B1" s="437"/>
      <c r="C1" s="438"/>
      <c r="D1"/>
      <c r="E1"/>
      <c r="F1"/>
      <c r="G1"/>
      <c r="H1"/>
      <c r="I1"/>
      <c r="J1"/>
      <c r="K1"/>
      <c r="L1"/>
      <c r="M1"/>
      <c r="N1"/>
      <c r="O1"/>
      <c r="P1"/>
      <c r="Q1"/>
      <c r="R1"/>
    </row>
    <row r="2" spans="1:18" s="397" customFormat="1" ht="39.75" customHeight="1" thickBot="1" x14ac:dyDescent="0.3">
      <c r="A2" s="908" t="s">
        <v>1478</v>
      </c>
      <c r="B2" s="909"/>
      <c r="C2" s="910"/>
      <c r="D2"/>
      <c r="E2"/>
      <c r="F2"/>
      <c r="G2"/>
      <c r="H2"/>
      <c r="I2"/>
      <c r="J2"/>
      <c r="K2"/>
      <c r="L2"/>
      <c r="M2"/>
      <c r="N2"/>
      <c r="O2"/>
      <c r="P2"/>
      <c r="Q2"/>
      <c r="R2"/>
    </row>
    <row r="4" spans="1:18" ht="15.75" thickBot="1" x14ac:dyDescent="0.3"/>
    <row r="5" spans="1:18" s="424" customFormat="1" ht="23.25" customHeight="1" x14ac:dyDescent="0.25">
      <c r="B5" s="425" t="s">
        <v>1283</v>
      </c>
      <c r="C5" s="426" t="s">
        <v>1296</v>
      </c>
      <c r="H5" s="424" t="s">
        <v>1284</v>
      </c>
    </row>
    <row r="6" spans="1:18" s="424" customFormat="1" ht="23.25" customHeight="1" x14ac:dyDescent="0.25">
      <c r="B6" s="427" t="s">
        <v>1316</v>
      </c>
      <c r="C6" s="428" t="s">
        <v>1730</v>
      </c>
      <c r="H6" s="424" t="s">
        <v>1285</v>
      </c>
    </row>
    <row r="7" spans="1:18" s="424" customFormat="1" ht="23.25" customHeight="1" x14ac:dyDescent="0.25">
      <c r="B7" s="427" t="s">
        <v>1317</v>
      </c>
      <c r="C7" s="428" t="s">
        <v>1492</v>
      </c>
      <c r="H7" s="424" t="s">
        <v>1286</v>
      </c>
    </row>
    <row r="8" spans="1:18" s="424" customFormat="1" ht="23.25" customHeight="1" x14ac:dyDescent="0.25">
      <c r="B8" s="427" t="s">
        <v>40</v>
      </c>
      <c r="C8" s="428" t="s">
        <v>1493</v>
      </c>
      <c r="H8" s="424" t="s">
        <v>1287</v>
      </c>
    </row>
    <row r="9" spans="1:18" s="424" customFormat="1" ht="23.25" customHeight="1" x14ac:dyDescent="0.25">
      <c r="B9" s="427" t="s">
        <v>42</v>
      </c>
      <c r="C9" s="428" t="s">
        <v>1494</v>
      </c>
      <c r="H9" s="424" t="s">
        <v>1288</v>
      </c>
    </row>
    <row r="10" spans="1:18" s="424" customFormat="1" ht="23.25" customHeight="1" x14ac:dyDescent="0.25">
      <c r="B10" s="427" t="s">
        <v>43</v>
      </c>
      <c r="C10" s="428" t="s">
        <v>1495</v>
      </c>
      <c r="H10" s="424" t="s">
        <v>1289</v>
      </c>
    </row>
    <row r="11" spans="1:18" s="424" customFormat="1" ht="23.25" customHeight="1" thickBot="1" x14ac:dyDescent="0.3">
      <c r="B11" s="429" t="s">
        <v>44</v>
      </c>
      <c r="C11" s="430" t="s">
        <v>1497</v>
      </c>
      <c r="H11" s="424" t="s">
        <v>1290</v>
      </c>
    </row>
    <row r="12" spans="1:18" x14ac:dyDescent="0.25">
      <c r="H12" t="s">
        <v>1291</v>
      </c>
    </row>
    <row r="13" spans="1:18" x14ac:dyDescent="0.25">
      <c r="H13" t="s">
        <v>1292</v>
      </c>
    </row>
    <row r="14" spans="1:18" x14ac:dyDescent="0.25">
      <c r="H14" t="s">
        <v>1293</v>
      </c>
    </row>
    <row r="15" spans="1:18" x14ac:dyDescent="0.25">
      <c r="H15" t="s">
        <v>1294</v>
      </c>
    </row>
    <row r="16" spans="1:18" x14ac:dyDescent="0.25">
      <c r="H16" t="s">
        <v>1295</v>
      </c>
    </row>
    <row r="17" spans="8:8" x14ac:dyDescent="0.25">
      <c r="H17" t="s">
        <v>1296</v>
      </c>
    </row>
    <row r="18" spans="8:8" x14ac:dyDescent="0.25">
      <c r="H18" t="s">
        <v>1297</v>
      </c>
    </row>
    <row r="19" spans="8:8" x14ac:dyDescent="0.25">
      <c r="H19" t="s">
        <v>1298</v>
      </c>
    </row>
    <row r="20" spans="8:8" x14ac:dyDescent="0.25">
      <c r="H20" t="s">
        <v>1299</v>
      </c>
    </row>
    <row r="21" spans="8:8" x14ac:dyDescent="0.25">
      <c r="H21" t="s">
        <v>1300</v>
      </c>
    </row>
    <row r="22" spans="8:8" x14ac:dyDescent="0.25">
      <c r="H22" t="s">
        <v>1301</v>
      </c>
    </row>
    <row r="23" spans="8:8" x14ac:dyDescent="0.25">
      <c r="H23" t="s">
        <v>1302</v>
      </c>
    </row>
    <row r="24" spans="8:8" x14ac:dyDescent="0.25">
      <c r="H24" t="s">
        <v>1303</v>
      </c>
    </row>
    <row r="25" spans="8:8" x14ac:dyDescent="0.25">
      <c r="H25" t="s">
        <v>1304</v>
      </c>
    </row>
    <row r="26" spans="8:8" x14ac:dyDescent="0.25">
      <c r="H26" t="s">
        <v>1305</v>
      </c>
    </row>
    <row r="27" spans="8:8" x14ac:dyDescent="0.25">
      <c r="H27" t="s">
        <v>1306</v>
      </c>
    </row>
    <row r="28" spans="8:8" x14ac:dyDescent="0.25">
      <c r="H28" t="s">
        <v>1307</v>
      </c>
    </row>
    <row r="29" spans="8:8" x14ac:dyDescent="0.25">
      <c r="H29" t="s">
        <v>1308</v>
      </c>
    </row>
    <row r="30" spans="8:8" x14ac:dyDescent="0.25">
      <c r="H30" t="s">
        <v>1309</v>
      </c>
    </row>
    <row r="31" spans="8:8" x14ac:dyDescent="0.25">
      <c r="H31" t="s">
        <v>1310</v>
      </c>
    </row>
    <row r="32" spans="8:8" x14ac:dyDescent="0.25">
      <c r="H32" t="s">
        <v>1311</v>
      </c>
    </row>
    <row r="33" spans="8:8" x14ac:dyDescent="0.25">
      <c r="H33" t="s">
        <v>1312</v>
      </c>
    </row>
    <row r="34" spans="8:8" x14ac:dyDescent="0.25">
      <c r="H34" t="s">
        <v>1313</v>
      </c>
    </row>
    <row r="35" spans="8:8" x14ac:dyDescent="0.25">
      <c r="H35" t="s">
        <v>1314</v>
      </c>
    </row>
    <row r="36" spans="8:8" x14ac:dyDescent="0.25">
      <c r="H36" t="s">
        <v>1315</v>
      </c>
    </row>
    <row r="38" spans="8:8" x14ac:dyDescent="0.25">
      <c r="H38" t="s">
        <v>1496</v>
      </c>
    </row>
    <row r="39" spans="8:8" x14ac:dyDescent="0.25">
      <c r="H39" t="s">
        <v>1726</v>
      </c>
    </row>
    <row r="40" spans="8:8" x14ac:dyDescent="0.25">
      <c r="H40" t="s">
        <v>1727</v>
      </c>
    </row>
    <row r="41" spans="8:8" x14ac:dyDescent="0.25">
      <c r="H41" t="s">
        <v>1728</v>
      </c>
    </row>
    <row r="42" spans="8:8" x14ac:dyDescent="0.25">
      <c r="H42" t="s">
        <v>1729</v>
      </c>
    </row>
    <row r="43" spans="8:8" x14ac:dyDescent="0.25">
      <c r="H43" t="s">
        <v>1730</v>
      </c>
    </row>
    <row r="44" spans="8:8" x14ac:dyDescent="0.25">
      <c r="H44" t="s">
        <v>1731</v>
      </c>
    </row>
    <row r="45" spans="8:8" x14ac:dyDescent="0.25">
      <c r="H45" t="s">
        <v>1732</v>
      </c>
    </row>
  </sheetData>
  <mergeCells count="1">
    <mergeCell ref="A2:C2"/>
  </mergeCells>
  <dataValidations count="2">
    <dataValidation type="list" allowBlank="1" showInputMessage="1" showErrorMessage="1" prompt="Seleccione la CAR de la cual incorporara la información" sqref="C5">
      <formula1>Lista_CAR</formula1>
    </dataValidation>
    <dataValidation type="list" allowBlank="1" showInputMessage="1" showErrorMessage="1" prompt="Seleccione el perido a reportar" sqref="C6">
      <formula1 xml:space="preserve"> Vigencias</formula1>
    </dataValidation>
  </dataValidations>
  <pageMargins left="0.7" right="0.7" top="0.75" bottom="0.75" header="0.3" footer="0.3"/>
  <pageSetup paperSize="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6"/>
  <sheetViews>
    <sheetView showGridLines="0" zoomScale="98" zoomScaleNormal="98" workbookViewId="0">
      <selection activeCell="M17" sqref="M17"/>
    </sheetView>
  </sheetViews>
  <sheetFormatPr baseColWidth="10" defaultRowHeight="15" x14ac:dyDescent="0.25"/>
  <cols>
    <col min="1" max="1" width="1.85546875" customWidth="1"/>
    <col min="2" max="2" width="12.85546875" customWidth="1"/>
    <col min="3" max="3" width="6.140625" style="85" bestFit="1" customWidth="1"/>
    <col min="4" max="4" width="34.85546875" customWidth="1"/>
    <col min="5" max="5" width="12.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131</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4"/>
      <c r="D7" s="5"/>
      <c r="E7" s="17"/>
      <c r="F7" s="5" t="s">
        <v>129</v>
      </c>
      <c r="G7" s="5"/>
      <c r="H7" s="5"/>
      <c r="I7" s="5"/>
      <c r="J7" s="5"/>
      <c r="K7" s="5"/>
    </row>
    <row r="8" spans="1:21" ht="15.75" thickBot="1" x14ac:dyDescent="0.3">
      <c r="B8" s="169" t="s">
        <v>1192</v>
      </c>
      <c r="C8" s="209">
        <v>2022</v>
      </c>
      <c r="D8" s="227" t="str">
        <f>IF(E10="NO APLICA","NO APLICA",IF(E11="NO SE REPORTA","SIN INFORMACION",+E23))</f>
        <v>SIN INFORMACION</v>
      </c>
      <c r="E8" s="210"/>
      <c r="F8" s="5" t="s">
        <v>130</v>
      </c>
      <c r="G8" s="5"/>
      <c r="H8" s="5"/>
      <c r="I8" s="5"/>
      <c r="J8" s="5"/>
      <c r="K8" s="5"/>
    </row>
    <row r="9" spans="1:21" x14ac:dyDescent="0.25">
      <c r="B9" s="363" t="s">
        <v>1193</v>
      </c>
      <c r="D9" s="58"/>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1248</v>
      </c>
      <c r="F11" s="1016" t="s">
        <v>1804</v>
      </c>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c>
      <c r="E12" s="1018" t="s">
        <v>1902</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t="s">
        <v>2591</v>
      </c>
      <c r="F13" s="1020"/>
      <c r="G13" s="1020"/>
      <c r="H13" s="1020"/>
      <c r="I13" s="1020"/>
      <c r="J13" s="1020"/>
      <c r="K13" s="1020"/>
      <c r="L13" s="1020"/>
      <c r="M13" s="1020"/>
      <c r="N13" s="1020"/>
      <c r="O13" s="1020"/>
      <c r="P13" s="1020"/>
      <c r="Q13" s="1020"/>
      <c r="R13" s="1021"/>
    </row>
    <row r="14" spans="1:21" ht="7.15" customHeight="1" thickBot="1" x14ac:dyDescent="0.3">
      <c r="B14" s="363"/>
      <c r="D14" s="58"/>
      <c r="E14" s="5"/>
      <c r="F14" s="5"/>
      <c r="G14" s="5"/>
      <c r="H14" s="5"/>
      <c r="I14" s="5"/>
      <c r="J14" s="5"/>
      <c r="K14" s="5"/>
    </row>
    <row r="15" spans="1:21" ht="15.75" thickBot="1" x14ac:dyDescent="0.3">
      <c r="B15" s="1045" t="s">
        <v>2</v>
      </c>
      <c r="C15" s="87"/>
      <c r="D15" s="1036" t="s">
        <v>3</v>
      </c>
      <c r="E15" s="1037"/>
      <c r="F15" s="1037"/>
      <c r="G15" s="1037"/>
      <c r="H15" s="1037"/>
      <c r="I15" s="1037"/>
      <c r="J15" s="1038"/>
      <c r="K15" s="5"/>
    </row>
    <row r="16" spans="1:21" ht="36.75" thickBot="1" x14ac:dyDescent="0.3">
      <c r="B16" s="1046"/>
      <c r="C16" s="92"/>
      <c r="D16" s="42" t="s">
        <v>148</v>
      </c>
      <c r="E16" s="204">
        <v>14</v>
      </c>
      <c r="F16" s="5"/>
      <c r="G16" s="5"/>
      <c r="H16" s="5"/>
      <c r="I16" s="5"/>
      <c r="J16" s="21"/>
      <c r="K16" s="5"/>
    </row>
    <row r="17" spans="2:11" ht="48.75" thickBot="1" x14ac:dyDescent="0.3">
      <c r="B17" s="1046"/>
      <c r="C17" s="92"/>
      <c r="D17" s="40" t="s">
        <v>1458</v>
      </c>
      <c r="E17" s="204">
        <v>0</v>
      </c>
      <c r="F17" s="5"/>
      <c r="G17" s="5"/>
      <c r="H17" s="5"/>
      <c r="I17" s="5"/>
      <c r="J17" s="21"/>
      <c r="K17" s="5"/>
    </row>
    <row r="18" spans="2:11" ht="48.75" thickBot="1" x14ac:dyDescent="0.3">
      <c r="B18" s="1046"/>
      <c r="C18" s="92"/>
      <c r="D18" s="40" t="s">
        <v>149</v>
      </c>
      <c r="E18" s="204">
        <v>2</v>
      </c>
      <c r="F18" s="5"/>
      <c r="G18" s="5"/>
      <c r="H18" s="5"/>
      <c r="I18" s="5"/>
      <c r="J18" s="21"/>
      <c r="K18" s="5"/>
    </row>
    <row r="19" spans="2:11" ht="15.75" thickBot="1" x14ac:dyDescent="0.3">
      <c r="B19" s="1046"/>
      <c r="C19" s="90"/>
      <c r="D19" s="1051"/>
      <c r="E19" s="1052"/>
      <c r="F19" s="1052"/>
      <c r="G19" s="1052"/>
      <c r="H19" s="1052"/>
      <c r="I19" s="1052"/>
      <c r="J19" s="1053"/>
      <c r="K19" s="5"/>
    </row>
    <row r="20" spans="2:11" ht="15.75" thickBot="1" x14ac:dyDescent="0.3">
      <c r="B20" s="1046"/>
      <c r="C20" s="96" t="s">
        <v>19</v>
      </c>
      <c r="D20" s="42" t="s">
        <v>150</v>
      </c>
      <c r="E20" s="38" t="s">
        <v>20</v>
      </c>
      <c r="F20" s="38" t="s">
        <v>21</v>
      </c>
      <c r="G20" s="38" t="s">
        <v>22</v>
      </c>
      <c r="H20" s="38" t="s">
        <v>23</v>
      </c>
      <c r="I20" s="38" t="s">
        <v>151</v>
      </c>
      <c r="J20" s="109"/>
      <c r="K20" s="5"/>
    </row>
    <row r="21" spans="2:11" ht="36.75" thickBot="1" x14ac:dyDescent="0.3">
      <c r="B21" s="1046"/>
      <c r="C21" s="2" t="s">
        <v>152</v>
      </c>
      <c r="D21" s="40" t="s">
        <v>153</v>
      </c>
      <c r="E21" s="204">
        <v>0</v>
      </c>
      <c r="F21" s="204">
        <v>0</v>
      </c>
      <c r="G21" s="204">
        <v>0</v>
      </c>
      <c r="H21" s="204">
        <v>2</v>
      </c>
      <c r="I21" s="41">
        <f>SUM(E21:H21)</f>
        <v>2</v>
      </c>
      <c r="J21" s="110"/>
      <c r="K21" s="5"/>
    </row>
    <row r="22" spans="2:11" ht="36.75" thickBot="1" x14ac:dyDescent="0.3">
      <c r="B22" s="1046"/>
      <c r="C22" s="2" t="s">
        <v>154</v>
      </c>
      <c r="D22" s="40" t="s">
        <v>155</v>
      </c>
      <c r="E22" s="204">
        <v>0</v>
      </c>
      <c r="F22" s="204">
        <v>0</v>
      </c>
      <c r="G22" s="204">
        <v>0</v>
      </c>
      <c r="H22" s="204"/>
      <c r="I22" s="41">
        <f>SUM(E22:H22)</f>
        <v>0</v>
      </c>
      <c r="J22" s="110"/>
      <c r="K22" s="5"/>
    </row>
    <row r="23" spans="2:11" ht="36.75" thickBot="1" x14ac:dyDescent="0.3">
      <c r="B23" s="1047"/>
      <c r="C23" s="2" t="s">
        <v>156</v>
      </c>
      <c r="D23" s="40" t="s">
        <v>157</v>
      </c>
      <c r="E23" s="183" t="str">
        <f>IFERROR(E22/E21,"N.A.")</f>
        <v>N.A.</v>
      </c>
      <c r="F23" s="183" t="str">
        <f>IFERROR(F22/F21,"N.A.")</f>
        <v>N.A.</v>
      </c>
      <c r="G23" s="183" t="str">
        <f>IFERROR(G22/G21,"N.A.")</f>
        <v>N.A.</v>
      </c>
      <c r="H23" s="183">
        <f>IFERROR(H22/H21,"N.A.")</f>
        <v>0</v>
      </c>
      <c r="I23" s="183">
        <f>IFERROR(I22/I21,"N.A.")</f>
        <v>0</v>
      </c>
      <c r="J23" s="111"/>
      <c r="K23" s="5"/>
    </row>
    <row r="24" spans="2:11" ht="15.75" thickBot="1" x14ac:dyDescent="0.3">
      <c r="B24" s="46" t="s">
        <v>34</v>
      </c>
      <c r="C24" s="91"/>
      <c r="D24" s="1048" t="s">
        <v>158</v>
      </c>
      <c r="E24" s="1049"/>
      <c r="F24" s="1049"/>
      <c r="G24" s="1049"/>
      <c r="H24" s="1049"/>
      <c r="I24" s="1049"/>
      <c r="J24" s="1050"/>
      <c r="K24" s="5"/>
    </row>
    <row r="25" spans="2:11" ht="24.75" thickBot="1" x14ac:dyDescent="0.3">
      <c r="B25" s="46" t="s">
        <v>36</v>
      </c>
      <c r="C25" s="91"/>
      <c r="D25" s="1048" t="s">
        <v>159</v>
      </c>
      <c r="E25" s="1049"/>
      <c r="F25" s="1049"/>
      <c r="G25" s="1049"/>
      <c r="H25" s="1049"/>
      <c r="I25" s="1049"/>
      <c r="J25" s="1050"/>
      <c r="K25" s="5"/>
    </row>
    <row r="26" spans="2:11" ht="15.75" thickBot="1" x14ac:dyDescent="0.3">
      <c r="B26" s="1"/>
      <c r="C26" s="74"/>
      <c r="D26" s="5"/>
      <c r="E26" s="5"/>
      <c r="F26" s="5"/>
      <c r="G26" s="5"/>
      <c r="H26" s="5"/>
      <c r="I26" s="5"/>
      <c r="J26" s="5"/>
      <c r="K26" s="5"/>
    </row>
    <row r="27" spans="2:11" ht="24" customHeight="1" thickBot="1" x14ac:dyDescent="0.3">
      <c r="B27" s="1054" t="s">
        <v>38</v>
      </c>
      <c r="C27" s="1055"/>
      <c r="D27" s="1055"/>
      <c r="E27" s="1056"/>
      <c r="F27" s="5"/>
      <c r="G27" s="5"/>
      <c r="H27" s="5"/>
      <c r="I27" s="5"/>
      <c r="J27" s="5"/>
      <c r="K27" s="5"/>
    </row>
    <row r="28" spans="2:11" ht="15.75" thickBot="1" x14ac:dyDescent="0.3">
      <c r="B28" s="1045">
        <v>1</v>
      </c>
      <c r="C28" s="92"/>
      <c r="D28" s="47" t="s">
        <v>39</v>
      </c>
      <c r="E28" s="30" t="s">
        <v>1771</v>
      </c>
      <c r="F28" s="5"/>
      <c r="G28" s="5"/>
      <c r="H28" s="5"/>
      <c r="I28" s="5"/>
      <c r="J28" s="5"/>
      <c r="K28" s="5"/>
    </row>
    <row r="29" spans="2:11" ht="15.75" thickBot="1" x14ac:dyDescent="0.3">
      <c r="B29" s="1046"/>
      <c r="C29" s="92"/>
      <c r="D29" s="40" t="s">
        <v>40</v>
      </c>
      <c r="E29" s="30" t="s">
        <v>1772</v>
      </c>
      <c r="F29" s="5"/>
      <c r="G29" s="5"/>
      <c r="H29" s="5"/>
      <c r="I29" s="5"/>
      <c r="J29" s="5"/>
      <c r="K29" s="5"/>
    </row>
    <row r="30" spans="2:11" ht="15.75" thickBot="1" x14ac:dyDescent="0.3">
      <c r="B30" s="1046"/>
      <c r="C30" s="92"/>
      <c r="D30" s="40" t="s">
        <v>41</v>
      </c>
      <c r="E30" s="30" t="s">
        <v>1774</v>
      </c>
      <c r="F30" s="5"/>
      <c r="G30" s="5"/>
      <c r="H30" s="5"/>
      <c r="I30" s="5"/>
      <c r="J30" s="5"/>
      <c r="K30" s="5"/>
    </row>
    <row r="31" spans="2:11" ht="15.75" thickBot="1" x14ac:dyDescent="0.3">
      <c r="B31" s="1046"/>
      <c r="C31" s="92"/>
      <c r="D31" s="40" t="s">
        <v>42</v>
      </c>
      <c r="E31" s="30" t="s">
        <v>1494</v>
      </c>
      <c r="F31" s="5"/>
      <c r="G31" s="5"/>
      <c r="H31" s="5"/>
      <c r="I31" s="5"/>
      <c r="J31" s="5"/>
      <c r="K31" s="5"/>
    </row>
    <row r="32" spans="2:11" ht="15.75" thickBot="1" x14ac:dyDescent="0.3">
      <c r="B32" s="1046"/>
      <c r="C32" s="92"/>
      <c r="D32" s="40" t="s">
        <v>43</v>
      </c>
      <c r="E32" s="515" t="s">
        <v>1775</v>
      </c>
      <c r="F32" s="5"/>
      <c r="G32" s="5"/>
      <c r="H32" s="5"/>
      <c r="I32" s="5"/>
      <c r="J32" s="5"/>
      <c r="K32" s="5"/>
    </row>
    <row r="33" spans="2:11" ht="15.75" thickBot="1" x14ac:dyDescent="0.3">
      <c r="B33" s="1046"/>
      <c r="C33" s="92"/>
      <c r="D33" s="40" t="s">
        <v>44</v>
      </c>
      <c r="E33" s="30">
        <v>4380200</v>
      </c>
      <c r="F33" s="5"/>
      <c r="G33" s="5"/>
      <c r="H33" s="5"/>
      <c r="I33" s="5"/>
      <c r="J33" s="5"/>
      <c r="K33" s="5"/>
    </row>
    <row r="34" spans="2:11" ht="15.75" thickBot="1" x14ac:dyDescent="0.3">
      <c r="B34" s="1047"/>
      <c r="C34" s="2"/>
      <c r="D34" s="40" t="s">
        <v>45</v>
      </c>
      <c r="E34" s="30" t="s">
        <v>1773</v>
      </c>
      <c r="F34" s="5"/>
      <c r="G34" s="5"/>
      <c r="H34" s="5"/>
      <c r="I34" s="5"/>
      <c r="J34" s="5"/>
      <c r="K34" s="5"/>
    </row>
    <row r="35" spans="2:11" ht="15.75" thickBot="1" x14ac:dyDescent="0.3">
      <c r="B35" s="1"/>
      <c r="C35" s="74"/>
      <c r="D35" s="5"/>
      <c r="E35" s="5"/>
      <c r="F35" s="5"/>
      <c r="G35" s="5"/>
      <c r="H35" s="5"/>
      <c r="I35" s="5"/>
      <c r="J35" s="5"/>
      <c r="K35" s="5"/>
    </row>
    <row r="36" spans="2:11" ht="15.75" thickBot="1" x14ac:dyDescent="0.3">
      <c r="B36" s="1054" t="s">
        <v>46</v>
      </c>
      <c r="C36" s="1055"/>
      <c r="D36" s="1055"/>
      <c r="E36" s="1056"/>
      <c r="F36" s="5"/>
      <c r="G36" s="5"/>
      <c r="H36" s="5"/>
      <c r="I36" s="5"/>
      <c r="J36" s="5"/>
      <c r="K36" s="5"/>
    </row>
    <row r="37" spans="2:11" ht="15.75" thickBot="1" x14ac:dyDescent="0.3">
      <c r="B37" s="1045">
        <v>1</v>
      </c>
      <c r="C37" s="92"/>
      <c r="D37" s="47" t="s">
        <v>39</v>
      </c>
      <c r="E37" s="233" t="s">
        <v>47</v>
      </c>
      <c r="F37" s="5"/>
      <c r="G37" s="5"/>
      <c r="H37" s="5"/>
      <c r="I37" s="5"/>
      <c r="J37" s="5"/>
      <c r="K37" s="5"/>
    </row>
    <row r="38" spans="2:11" ht="15.75" thickBot="1" x14ac:dyDescent="0.3">
      <c r="B38" s="1046"/>
      <c r="C38" s="92"/>
      <c r="D38" s="40" t="s">
        <v>40</v>
      </c>
      <c r="E38" s="233" t="s">
        <v>160</v>
      </c>
      <c r="F38" s="5"/>
      <c r="G38" s="5"/>
      <c r="H38" s="5"/>
      <c r="I38" s="5"/>
      <c r="J38" s="5"/>
      <c r="K38" s="5"/>
    </row>
    <row r="39" spans="2:11" ht="15.75" thickBot="1" x14ac:dyDescent="0.3">
      <c r="B39" s="1046"/>
      <c r="C39" s="92"/>
      <c r="D39" s="40" t="s">
        <v>41</v>
      </c>
      <c r="E39" s="234"/>
      <c r="F39" s="5"/>
      <c r="G39" s="5"/>
      <c r="H39" s="5"/>
      <c r="I39" s="5"/>
      <c r="J39" s="5"/>
      <c r="K39" s="5"/>
    </row>
    <row r="40" spans="2:11" ht="15.75" thickBot="1" x14ac:dyDescent="0.3">
      <c r="B40" s="1046"/>
      <c r="C40" s="92"/>
      <c r="D40" s="40" t="s">
        <v>42</v>
      </c>
      <c r="E40" s="234"/>
      <c r="F40" s="5"/>
      <c r="G40" s="5"/>
      <c r="H40" s="5"/>
      <c r="I40" s="5"/>
      <c r="J40" s="5"/>
      <c r="K40" s="5"/>
    </row>
    <row r="41" spans="2:11" ht="15.75" thickBot="1" x14ac:dyDescent="0.3">
      <c r="B41" s="1046"/>
      <c r="C41" s="92"/>
      <c r="D41" s="40" t="s">
        <v>43</v>
      </c>
      <c r="E41" s="234"/>
      <c r="F41" s="5"/>
      <c r="G41" s="5"/>
      <c r="H41" s="5"/>
      <c r="I41" s="5"/>
      <c r="J41" s="5"/>
      <c r="K41" s="5"/>
    </row>
    <row r="42" spans="2:11" ht="15.75" thickBot="1" x14ac:dyDescent="0.3">
      <c r="B42" s="1046"/>
      <c r="C42" s="92"/>
      <c r="D42" s="40" t="s">
        <v>44</v>
      </c>
      <c r="E42" s="234"/>
      <c r="F42" s="5"/>
      <c r="G42" s="5"/>
      <c r="H42" s="5"/>
      <c r="I42" s="5"/>
      <c r="J42" s="5"/>
      <c r="K42" s="5"/>
    </row>
    <row r="43" spans="2:11" ht="15.75" thickBot="1" x14ac:dyDescent="0.3">
      <c r="B43" s="1047"/>
      <c r="C43" s="2"/>
      <c r="D43" s="40" t="s">
        <v>45</v>
      </c>
      <c r="E43" s="234"/>
      <c r="F43" s="5"/>
      <c r="G43" s="5"/>
      <c r="H43" s="5"/>
      <c r="I43" s="5"/>
      <c r="J43" s="5"/>
      <c r="K43" s="5"/>
    </row>
    <row r="44" spans="2:11" ht="15.75" thickBot="1" x14ac:dyDescent="0.3">
      <c r="B44" s="1"/>
      <c r="C44" s="74"/>
      <c r="D44" s="5"/>
      <c r="E44" s="5"/>
      <c r="F44" s="5"/>
      <c r="G44" s="5"/>
      <c r="H44" s="5"/>
      <c r="I44" s="5"/>
      <c r="J44" s="5"/>
      <c r="K44" s="5"/>
    </row>
    <row r="45" spans="2:11" ht="15" customHeight="1" thickBot="1" x14ac:dyDescent="0.3">
      <c r="B45" s="117" t="s">
        <v>49</v>
      </c>
      <c r="C45" s="118"/>
      <c r="D45" s="118"/>
      <c r="E45" s="118"/>
      <c r="F45" s="119"/>
      <c r="G45" s="5"/>
      <c r="H45" s="5"/>
      <c r="I45" s="5"/>
      <c r="J45" s="5"/>
      <c r="K45" s="5"/>
    </row>
    <row r="46" spans="2:11" ht="15.75" thickBot="1" x14ac:dyDescent="0.3">
      <c r="B46" s="46" t="s">
        <v>50</v>
      </c>
      <c r="C46" s="39" t="s">
        <v>51</v>
      </c>
      <c r="D46" s="39" t="s">
        <v>52</v>
      </c>
      <c r="E46" s="39" t="s">
        <v>53</v>
      </c>
      <c r="F46" s="5"/>
      <c r="G46" s="5"/>
      <c r="H46" s="5"/>
      <c r="I46" s="5"/>
      <c r="J46" s="5"/>
    </row>
    <row r="47" spans="2:11" ht="72.75" thickBot="1" x14ac:dyDescent="0.3">
      <c r="B47" s="48">
        <v>42401</v>
      </c>
      <c r="C47" s="39">
        <v>0.01</v>
      </c>
      <c r="D47" s="49" t="s">
        <v>161</v>
      </c>
      <c r="E47" s="39"/>
      <c r="F47" s="5"/>
      <c r="G47" s="5"/>
      <c r="H47" s="5"/>
      <c r="I47" s="5"/>
      <c r="J47" s="5"/>
    </row>
    <row r="48" spans="2:11" ht="15.75" thickBot="1" x14ac:dyDescent="0.3">
      <c r="B48" s="1"/>
      <c r="C48" s="74"/>
      <c r="D48" s="5"/>
      <c r="E48" s="5"/>
      <c r="F48" s="5"/>
      <c r="G48" s="5"/>
      <c r="H48" s="5"/>
      <c r="I48" s="5"/>
      <c r="J48" s="5"/>
      <c r="K48" s="5"/>
    </row>
    <row r="49" spans="2:11" x14ac:dyDescent="0.25">
      <c r="B49" s="127" t="s">
        <v>55</v>
      </c>
      <c r="C49" s="94"/>
      <c r="D49" s="5"/>
      <c r="E49" s="5"/>
      <c r="F49" s="5"/>
      <c r="G49" s="5"/>
      <c r="H49" s="5"/>
      <c r="I49" s="5"/>
      <c r="J49" s="5"/>
      <c r="K49" s="5"/>
    </row>
    <row r="50" spans="2:11" x14ac:dyDescent="0.25">
      <c r="B50" s="1069"/>
      <c r="C50" s="1070"/>
      <c r="D50" s="1070"/>
      <c r="E50" s="1070"/>
      <c r="F50" s="1070"/>
      <c r="G50" s="1070"/>
      <c r="H50" s="1070"/>
      <c r="I50" s="1070"/>
      <c r="J50" s="1071"/>
      <c r="K50" s="5"/>
    </row>
    <row r="51" spans="2:11" x14ac:dyDescent="0.25">
      <c r="B51" s="5"/>
      <c r="D51" s="5"/>
      <c r="E51" s="5"/>
      <c r="F51" s="5"/>
      <c r="G51" s="5"/>
      <c r="H51" s="5"/>
      <c r="I51" s="5"/>
      <c r="J51" s="5"/>
      <c r="K51" s="5"/>
    </row>
    <row r="52" spans="2:11" ht="15.75" thickBot="1" x14ac:dyDescent="0.3">
      <c r="B52" s="5"/>
      <c r="D52" s="5"/>
      <c r="E52" s="5"/>
      <c r="F52" s="5"/>
      <c r="G52" s="5"/>
      <c r="H52" s="5"/>
      <c r="I52" s="5"/>
      <c r="J52" s="5"/>
      <c r="K52" s="5"/>
    </row>
    <row r="53" spans="2:11" ht="15.75" thickBot="1" x14ac:dyDescent="0.3">
      <c r="B53" s="1054" t="s">
        <v>56</v>
      </c>
      <c r="C53" s="1055"/>
      <c r="D53" s="1056"/>
      <c r="E53" s="5"/>
      <c r="F53" s="5"/>
      <c r="G53" s="5"/>
      <c r="H53" s="5"/>
      <c r="I53" s="5"/>
      <c r="J53" s="5"/>
      <c r="K53" s="5"/>
    </row>
    <row r="54" spans="2:11" ht="15.75" thickBot="1" x14ac:dyDescent="0.3">
      <c r="B54" s="1"/>
      <c r="C54" s="74"/>
      <c r="D54" s="5"/>
      <c r="E54" s="5"/>
      <c r="F54" s="5"/>
      <c r="G54" s="5"/>
      <c r="H54" s="5"/>
      <c r="I54" s="5"/>
      <c r="J54" s="5"/>
      <c r="K54" s="5"/>
    </row>
    <row r="55" spans="2:11" ht="24" customHeight="1" thickBot="1" x14ac:dyDescent="0.3">
      <c r="B55" s="51" t="s">
        <v>57</v>
      </c>
      <c r="C55" s="231"/>
      <c r="D55" s="1048" t="s">
        <v>132</v>
      </c>
      <c r="E55" s="1049"/>
      <c r="F55" s="1049"/>
      <c r="G55" s="1049"/>
      <c r="H55" s="1049"/>
      <c r="I55" s="1049"/>
      <c r="J55" s="1050"/>
      <c r="K55" s="5"/>
    </row>
    <row r="56" spans="2:11" x14ac:dyDescent="0.25">
      <c r="B56" s="1045" t="s">
        <v>59</v>
      </c>
      <c r="C56" s="87"/>
      <c r="D56" s="1033" t="s">
        <v>60</v>
      </c>
      <c r="E56" s="1034"/>
      <c r="F56" s="1034"/>
      <c r="G56" s="1034"/>
      <c r="H56" s="1034"/>
      <c r="I56" s="1034"/>
      <c r="J56" s="1035"/>
      <c r="K56" s="5"/>
    </row>
    <row r="57" spans="2:11" ht="24" customHeight="1" x14ac:dyDescent="0.25">
      <c r="B57" s="1046"/>
      <c r="C57" s="90"/>
      <c r="D57" s="1027" t="s">
        <v>133</v>
      </c>
      <c r="E57" s="1028"/>
      <c r="F57" s="1028"/>
      <c r="G57" s="1028"/>
      <c r="H57" s="1028"/>
      <c r="I57" s="1028"/>
      <c r="J57" s="1029"/>
      <c r="K57" s="5"/>
    </row>
    <row r="58" spans="2:11" x14ac:dyDescent="0.25">
      <c r="B58" s="1046"/>
      <c r="C58" s="90"/>
      <c r="D58" s="1039" t="s">
        <v>134</v>
      </c>
      <c r="E58" s="1040"/>
      <c r="F58" s="1040"/>
      <c r="G58" s="1040"/>
      <c r="H58" s="1040"/>
      <c r="I58" s="1040"/>
      <c r="J58" s="1041"/>
      <c r="K58" s="5"/>
    </row>
    <row r="59" spans="2:11" x14ac:dyDescent="0.25">
      <c r="B59" s="1046"/>
      <c r="C59" s="90"/>
      <c r="D59" s="1027" t="s">
        <v>135</v>
      </c>
      <c r="E59" s="1028"/>
      <c r="F59" s="1028"/>
      <c r="G59" s="1028"/>
      <c r="H59" s="1028"/>
      <c r="I59" s="1028"/>
      <c r="J59" s="1029"/>
      <c r="K59" s="5"/>
    </row>
    <row r="60" spans="2:11" x14ac:dyDescent="0.25">
      <c r="B60" s="1046"/>
      <c r="C60" s="90"/>
      <c r="D60" s="1027" t="s">
        <v>136</v>
      </c>
      <c r="E60" s="1028"/>
      <c r="F60" s="1028"/>
      <c r="G60" s="1028"/>
      <c r="H60" s="1028"/>
      <c r="I60" s="1028"/>
      <c r="J60" s="1029"/>
      <c r="K60" s="5"/>
    </row>
    <row r="61" spans="2:11" x14ac:dyDescent="0.25">
      <c r="B61" s="1046"/>
      <c r="C61" s="90"/>
      <c r="D61" s="1027" t="s">
        <v>137</v>
      </c>
      <c r="E61" s="1028"/>
      <c r="F61" s="1028"/>
      <c r="G61" s="1028"/>
      <c r="H61" s="1028"/>
      <c r="I61" s="1028"/>
      <c r="J61" s="1029"/>
      <c r="K61" s="5"/>
    </row>
    <row r="62" spans="2:11" ht="24" customHeight="1" x14ac:dyDescent="0.25">
      <c r="B62" s="1046"/>
      <c r="C62" s="90"/>
      <c r="D62" s="1027" t="s">
        <v>138</v>
      </c>
      <c r="E62" s="1028"/>
      <c r="F62" s="1028"/>
      <c r="G62" s="1028"/>
      <c r="H62" s="1028"/>
      <c r="I62" s="1028"/>
      <c r="J62" s="1029"/>
      <c r="K62" s="5"/>
    </row>
    <row r="63" spans="2:11" ht="24" customHeight="1" x14ac:dyDescent="0.25">
      <c r="B63" s="1046"/>
      <c r="C63" s="90"/>
      <c r="D63" s="1027" t="s">
        <v>139</v>
      </c>
      <c r="E63" s="1028"/>
      <c r="F63" s="1028"/>
      <c r="G63" s="1028"/>
      <c r="H63" s="1028"/>
      <c r="I63" s="1028"/>
      <c r="J63" s="1029"/>
      <c r="K63" s="5"/>
    </row>
    <row r="64" spans="2:11" x14ac:dyDescent="0.25">
      <c r="B64" s="1046"/>
      <c r="C64" s="90"/>
      <c r="D64" s="1027" t="s">
        <v>140</v>
      </c>
      <c r="E64" s="1028"/>
      <c r="F64" s="1028"/>
      <c r="G64" s="1028"/>
      <c r="H64" s="1028"/>
      <c r="I64" s="1028"/>
      <c r="J64" s="1029"/>
      <c r="K64" s="5"/>
    </row>
    <row r="65" spans="2:11" x14ac:dyDescent="0.25">
      <c r="B65" s="1046"/>
      <c r="C65" s="90"/>
      <c r="D65" s="1039" t="s">
        <v>141</v>
      </c>
      <c r="E65" s="1040"/>
      <c r="F65" s="1040"/>
      <c r="G65" s="1040"/>
      <c r="H65" s="1040"/>
      <c r="I65" s="1040"/>
      <c r="J65" s="1041"/>
      <c r="K65" s="5"/>
    </row>
    <row r="66" spans="2:11" ht="15.75" thickBot="1" x14ac:dyDescent="0.3">
      <c r="B66" s="1047"/>
      <c r="C66" s="91"/>
      <c r="D66" s="1051" t="s">
        <v>142</v>
      </c>
      <c r="E66" s="1052"/>
      <c r="F66" s="1052"/>
      <c r="G66" s="1052"/>
      <c r="H66" s="1052"/>
      <c r="I66" s="1052"/>
      <c r="J66" s="1053"/>
      <c r="K66" s="5"/>
    </row>
    <row r="67" spans="2:11" ht="24.75" thickBot="1" x14ac:dyDescent="0.3">
      <c r="B67" s="46" t="s">
        <v>72</v>
      </c>
      <c r="C67" s="91"/>
      <c r="D67" s="1048"/>
      <c r="E67" s="1049"/>
      <c r="F67" s="1049"/>
      <c r="G67" s="1049"/>
      <c r="H67" s="1049"/>
      <c r="I67" s="1049"/>
      <c r="J67" s="1050"/>
      <c r="K67" s="5"/>
    </row>
    <row r="68" spans="2:11" ht="24.75" thickBot="1" x14ac:dyDescent="0.3">
      <c r="B68" s="46" t="s">
        <v>73</v>
      </c>
      <c r="C68" s="91"/>
      <c r="D68" s="1048" t="s">
        <v>143</v>
      </c>
      <c r="E68" s="1049"/>
      <c r="F68" s="1049"/>
      <c r="G68" s="1049"/>
      <c r="H68" s="1049"/>
      <c r="I68" s="1049"/>
      <c r="J68" s="1050"/>
      <c r="K68" s="5"/>
    </row>
    <row r="69" spans="2:11" x14ac:dyDescent="0.25">
      <c r="B69" s="1045" t="s">
        <v>90</v>
      </c>
      <c r="C69" s="87"/>
      <c r="D69" s="1036"/>
      <c r="E69" s="1037"/>
      <c r="F69" s="1037"/>
      <c r="G69" s="1037"/>
      <c r="H69" s="1037"/>
      <c r="I69" s="1037"/>
      <c r="J69" s="1038"/>
      <c r="K69" s="5"/>
    </row>
    <row r="70" spans="2:11" x14ac:dyDescent="0.25">
      <c r="B70" s="1046"/>
      <c r="C70" s="90"/>
      <c r="D70" s="1024"/>
      <c r="E70" s="1025"/>
      <c r="F70" s="1025"/>
      <c r="G70" s="1025"/>
      <c r="H70" s="1025"/>
      <c r="I70" s="1025"/>
      <c r="J70" s="1026"/>
      <c r="K70" s="5"/>
    </row>
    <row r="71" spans="2:11" x14ac:dyDescent="0.25">
      <c r="B71" s="1046"/>
      <c r="C71" s="90"/>
      <c r="D71" s="1027" t="s">
        <v>91</v>
      </c>
      <c r="E71" s="1028"/>
      <c r="F71" s="1028"/>
      <c r="G71" s="1028"/>
      <c r="H71" s="1028"/>
      <c r="I71" s="1028"/>
      <c r="J71" s="1029"/>
      <c r="K71" s="5"/>
    </row>
    <row r="72" spans="2:11" ht="26.65" customHeight="1" x14ac:dyDescent="0.25">
      <c r="B72" s="1046"/>
      <c r="C72" s="90"/>
      <c r="D72" s="1027" t="s">
        <v>144</v>
      </c>
      <c r="E72" s="1028"/>
      <c r="F72" s="1028"/>
      <c r="G72" s="1028"/>
      <c r="H72" s="1028"/>
      <c r="I72" s="1028"/>
      <c r="J72" s="1029"/>
      <c r="K72" s="5"/>
    </row>
    <row r="73" spans="2:11" ht="14.45" customHeight="1" x14ac:dyDescent="0.25">
      <c r="B73" s="1046"/>
      <c r="C73" s="90"/>
      <c r="D73" s="1027" t="s">
        <v>145</v>
      </c>
      <c r="E73" s="1028"/>
      <c r="F73" s="1028"/>
      <c r="G73" s="1028"/>
      <c r="H73" s="1028"/>
      <c r="I73" s="1028"/>
      <c r="J73" s="1029"/>
      <c r="K73" s="5"/>
    </row>
    <row r="74" spans="2:11" ht="14.45" customHeight="1" x14ac:dyDescent="0.25">
      <c r="B74" s="1046"/>
      <c r="C74" s="90"/>
      <c r="D74" s="1027" t="s">
        <v>146</v>
      </c>
      <c r="E74" s="1028"/>
      <c r="F74" s="1028"/>
      <c r="G74" s="1028"/>
      <c r="H74" s="1028"/>
      <c r="I74" s="1028"/>
      <c r="J74" s="1029"/>
      <c r="K74" s="5"/>
    </row>
    <row r="75" spans="2:11" ht="24" customHeight="1" thickBot="1" x14ac:dyDescent="0.3">
      <c r="B75" s="1047"/>
      <c r="C75" s="91"/>
      <c r="D75" s="1051" t="s">
        <v>147</v>
      </c>
      <c r="E75" s="1052"/>
      <c r="F75" s="1052"/>
      <c r="G75" s="1052"/>
      <c r="H75" s="1052"/>
      <c r="I75" s="1052"/>
      <c r="J75" s="1053"/>
      <c r="K75" s="5"/>
    </row>
    <row r="76" spans="2:11" x14ac:dyDescent="0.25">
      <c r="B76" s="5"/>
      <c r="D76" s="5"/>
      <c r="E76" s="5"/>
      <c r="F76" s="5"/>
      <c r="G76" s="5"/>
      <c r="H76" s="5"/>
      <c r="I76" s="5"/>
      <c r="J76" s="5"/>
      <c r="K76" s="5"/>
    </row>
  </sheetData>
  <mergeCells count="44">
    <mergeCell ref="B10:D10"/>
    <mergeCell ref="F10:S10"/>
    <mergeCell ref="F11:S11"/>
    <mergeCell ref="E12:R12"/>
    <mergeCell ref="E13:R13"/>
    <mergeCell ref="B50:J50"/>
    <mergeCell ref="D68:J68"/>
    <mergeCell ref="B53:D53"/>
    <mergeCell ref="D55:J55"/>
    <mergeCell ref="B56:B66"/>
    <mergeCell ref="D56:J56"/>
    <mergeCell ref="D57:J57"/>
    <mergeCell ref="D58:J58"/>
    <mergeCell ref="D59:J59"/>
    <mergeCell ref="D60:J60"/>
    <mergeCell ref="D61:J61"/>
    <mergeCell ref="D62:J62"/>
    <mergeCell ref="D63:J63"/>
    <mergeCell ref="D64:J64"/>
    <mergeCell ref="D65:J65"/>
    <mergeCell ref="D66:J66"/>
    <mergeCell ref="D67:J67"/>
    <mergeCell ref="B69:B75"/>
    <mergeCell ref="D69:J69"/>
    <mergeCell ref="D70:J70"/>
    <mergeCell ref="D71:J71"/>
    <mergeCell ref="D72:J72"/>
    <mergeCell ref="D73:J73"/>
    <mergeCell ref="D74:J74"/>
    <mergeCell ref="D75:J75"/>
    <mergeCell ref="B28:B34"/>
    <mergeCell ref="B36:E36"/>
    <mergeCell ref="B37:B43"/>
    <mergeCell ref="B15:B23"/>
    <mergeCell ref="D15:J15"/>
    <mergeCell ref="D19:J19"/>
    <mergeCell ref="D24:J24"/>
    <mergeCell ref="D25:J25"/>
    <mergeCell ref="B27:E27"/>
    <mergeCell ref="A1:P1"/>
    <mergeCell ref="A2:P2"/>
    <mergeCell ref="A3:P3"/>
    <mergeCell ref="A4:D4"/>
    <mergeCell ref="A5:P5"/>
  </mergeCells>
  <conditionalFormatting sqref="F10">
    <cfRule type="notContainsBlanks" dxfId="124" priority="5">
      <formula>LEN(TRIM(F10))&gt;0</formula>
    </cfRule>
  </conditionalFormatting>
  <conditionalFormatting sqref="F11:S11">
    <cfRule type="expression" dxfId="123" priority="3">
      <formula>E11="NO SE REPORTA"</formula>
    </cfRule>
    <cfRule type="expression" dxfId="122" priority="4">
      <formula>E10="NO APLICA"</formula>
    </cfRule>
  </conditionalFormatting>
  <conditionalFormatting sqref="E12:R12">
    <cfRule type="expression" dxfId="12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formula1>0</formula1>
    </dataValidation>
    <dataValidation allowBlank="1" showInputMessage="1" showErrorMessage="1" sqref="I21:I22"/>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32" r:id="rId1"/>
  </hyperlinks>
  <pageMargins left="0.25" right="0.25" top="0.75" bottom="0.75" header="0.3" footer="0.3"/>
  <pageSetup paperSize="178" orientation="landscape"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showGridLines="0" zoomScale="98" zoomScaleNormal="98" workbookViewId="0">
      <selection activeCell="M21" sqref="M21"/>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162</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INFORMACION",+E22))</f>
        <v>1</v>
      </c>
      <c r="E8" s="210"/>
      <c r="F8" s="5" t="s">
        <v>130</v>
      </c>
      <c r="G8" s="5"/>
      <c r="H8" s="5"/>
      <c r="I8" s="5"/>
      <c r="J8" s="5"/>
      <c r="K8" s="5"/>
    </row>
    <row r="9" spans="1:21" x14ac:dyDescent="0.25">
      <c r="B9" s="363" t="s">
        <v>1193</v>
      </c>
      <c r="C9" s="86"/>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1903</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C14" s="86"/>
      <c r="D14" s="5"/>
      <c r="E14" s="5"/>
      <c r="F14" s="5"/>
      <c r="G14" s="5"/>
      <c r="H14" s="5"/>
      <c r="I14" s="5"/>
      <c r="J14" s="5"/>
      <c r="K14" s="5"/>
    </row>
    <row r="15" spans="1:21" ht="15.75" thickBot="1" x14ac:dyDescent="0.3">
      <c r="B15" s="1045" t="s">
        <v>2</v>
      </c>
      <c r="C15" s="87"/>
      <c r="D15" s="1036" t="s">
        <v>3</v>
      </c>
      <c r="E15" s="1037"/>
      <c r="F15" s="1037"/>
      <c r="G15" s="1037"/>
      <c r="H15" s="1037"/>
      <c r="I15" s="1037"/>
      <c r="J15" s="1038"/>
      <c r="K15" s="5"/>
    </row>
    <row r="16" spans="1:21" ht="36.75" thickBot="1" x14ac:dyDescent="0.3">
      <c r="B16" s="1046"/>
      <c r="C16" s="92"/>
      <c r="D16" s="42" t="s">
        <v>176</v>
      </c>
      <c r="E16" s="204">
        <v>23</v>
      </c>
      <c r="F16" s="5"/>
      <c r="G16" s="5"/>
      <c r="H16" s="5"/>
      <c r="I16" s="5"/>
      <c r="J16" s="21"/>
      <c r="K16" s="5"/>
    </row>
    <row r="17" spans="2:11" ht="48.75" thickBot="1" x14ac:dyDescent="0.3">
      <c r="B17" s="1046"/>
      <c r="C17" s="92"/>
      <c r="D17" s="40" t="s">
        <v>177</v>
      </c>
      <c r="E17" s="204">
        <v>23</v>
      </c>
      <c r="F17" s="5"/>
      <c r="G17" s="5"/>
      <c r="H17" s="5"/>
      <c r="I17" s="5"/>
      <c r="J17" s="21"/>
      <c r="K17" s="5"/>
    </row>
    <row r="18" spans="2:11" ht="15.75" thickBot="1" x14ac:dyDescent="0.3">
      <c r="B18" s="1046"/>
      <c r="C18" s="90"/>
      <c r="D18" s="1051"/>
      <c r="E18" s="1052"/>
      <c r="F18" s="1052"/>
      <c r="G18" s="1052"/>
      <c r="H18" s="1052"/>
      <c r="I18" s="1052"/>
      <c r="J18" s="1053"/>
      <c r="K18" s="5"/>
    </row>
    <row r="19" spans="2:11" ht="15.75" thickBot="1" x14ac:dyDescent="0.3">
      <c r="B19" s="1046"/>
      <c r="C19" s="96" t="s">
        <v>19</v>
      </c>
      <c r="D19" s="42" t="s">
        <v>150</v>
      </c>
      <c r="E19" s="38" t="s">
        <v>20</v>
      </c>
      <c r="F19" s="38" t="s">
        <v>21</v>
      </c>
      <c r="G19" s="38" t="s">
        <v>22</v>
      </c>
      <c r="H19" s="38" t="s">
        <v>23</v>
      </c>
      <c r="I19" s="218" t="s">
        <v>55</v>
      </c>
      <c r="J19" s="109"/>
      <c r="K19" s="5"/>
    </row>
    <row r="20" spans="2:11" ht="36.75" thickBot="1" x14ac:dyDescent="0.3">
      <c r="B20" s="1046"/>
      <c r="C20" s="2" t="s">
        <v>152</v>
      </c>
      <c r="D20" s="40" t="s">
        <v>178</v>
      </c>
      <c r="E20" s="204">
        <v>23</v>
      </c>
      <c r="F20" s="204">
        <v>23</v>
      </c>
      <c r="G20" s="204">
        <v>23</v>
      </c>
      <c r="H20" s="204"/>
      <c r="I20" s="30"/>
      <c r="J20" s="110"/>
      <c r="K20" s="5"/>
    </row>
    <row r="21" spans="2:11" ht="36.75" thickBot="1" x14ac:dyDescent="0.3">
      <c r="B21" s="1046"/>
      <c r="C21" s="2" t="s">
        <v>154</v>
      </c>
      <c r="D21" s="40" t="s">
        <v>179</v>
      </c>
      <c r="E21" s="204">
        <v>23</v>
      </c>
      <c r="F21" s="204">
        <v>23</v>
      </c>
      <c r="G21" s="204">
        <v>23</v>
      </c>
      <c r="H21" s="204"/>
      <c r="I21" s="30"/>
      <c r="J21" s="110"/>
      <c r="K21" s="5"/>
    </row>
    <row r="22" spans="2:11" ht="36.75" thickBot="1" x14ac:dyDescent="0.3">
      <c r="B22" s="1047"/>
      <c r="C22" s="2" t="s">
        <v>156</v>
      </c>
      <c r="D22" s="40" t="s">
        <v>180</v>
      </c>
      <c r="E22" s="183">
        <f>IFERROR(E21/E20,"N.A.")</f>
        <v>1</v>
      </c>
      <c r="F22" s="183">
        <f>IFERROR(F21/F20,"N.A.")</f>
        <v>1</v>
      </c>
      <c r="G22" s="183">
        <f>IFERROR(G21/G20,"N.A.")</f>
        <v>1</v>
      </c>
      <c r="H22" s="183" t="str">
        <f>IFERROR(H21/H20,"N.A.")</f>
        <v>N.A.</v>
      </c>
      <c r="I22" s="362"/>
      <c r="J22" s="111"/>
      <c r="K22" s="5"/>
    </row>
    <row r="23" spans="2:11" ht="24" customHeight="1" thickBot="1" x14ac:dyDescent="0.3">
      <c r="B23" s="46" t="s">
        <v>34</v>
      </c>
      <c r="C23" s="91"/>
      <c r="D23" s="1048" t="s">
        <v>181</v>
      </c>
      <c r="E23" s="1049"/>
      <c r="F23" s="1049"/>
      <c r="G23" s="1049"/>
      <c r="H23" s="1049"/>
      <c r="I23" s="1049"/>
      <c r="J23" s="1050"/>
      <c r="K23" s="5"/>
    </row>
    <row r="24" spans="2:11" ht="24.75" thickBot="1" x14ac:dyDescent="0.3">
      <c r="B24" s="46" t="s">
        <v>36</v>
      </c>
      <c r="C24" s="91"/>
      <c r="D24" s="1048" t="s">
        <v>159</v>
      </c>
      <c r="E24" s="1049"/>
      <c r="F24" s="1049"/>
      <c r="G24" s="1049"/>
      <c r="H24" s="1049"/>
      <c r="I24" s="1049"/>
      <c r="J24" s="1050"/>
      <c r="K24" s="5"/>
    </row>
    <row r="25" spans="2:11" ht="15.75" thickBot="1" x14ac:dyDescent="0.3">
      <c r="B25" s="1"/>
      <c r="C25" s="74"/>
      <c r="D25" s="5"/>
      <c r="E25" s="5"/>
      <c r="F25" s="5"/>
      <c r="G25" s="5"/>
      <c r="H25" s="5"/>
      <c r="I25" s="5"/>
      <c r="J25" s="5"/>
      <c r="K25" s="5"/>
    </row>
    <row r="26" spans="2:11" ht="24" customHeight="1" thickBot="1" x14ac:dyDescent="0.3">
      <c r="B26" s="1054" t="s">
        <v>38</v>
      </c>
      <c r="C26" s="1055"/>
      <c r="D26" s="1055"/>
      <c r="E26" s="1056"/>
      <c r="F26" s="5"/>
      <c r="G26" s="5"/>
      <c r="H26" s="5"/>
      <c r="I26" s="5"/>
      <c r="J26" s="5"/>
      <c r="K26" s="5"/>
    </row>
    <row r="27" spans="2:11" ht="15.75" thickBot="1" x14ac:dyDescent="0.3">
      <c r="B27" s="1045">
        <v>1</v>
      </c>
      <c r="C27" s="92"/>
      <c r="D27" s="47" t="s">
        <v>39</v>
      </c>
      <c r="E27" s="30" t="s">
        <v>1771</v>
      </c>
      <c r="F27" s="5"/>
      <c r="G27" s="5"/>
      <c r="H27" s="5"/>
      <c r="I27" s="5"/>
      <c r="J27" s="5"/>
      <c r="K27" s="5"/>
    </row>
    <row r="28" spans="2:11" ht="15.75" thickBot="1" x14ac:dyDescent="0.3">
      <c r="B28" s="1046"/>
      <c r="C28" s="92"/>
      <c r="D28" s="40" t="s">
        <v>40</v>
      </c>
      <c r="E28" s="30" t="s">
        <v>1776</v>
      </c>
      <c r="F28" s="5"/>
      <c r="G28" s="5"/>
      <c r="H28" s="5"/>
      <c r="I28" s="5"/>
      <c r="J28" s="5"/>
      <c r="K28" s="5"/>
    </row>
    <row r="29" spans="2:11" ht="15.75" thickBot="1" x14ac:dyDescent="0.3">
      <c r="B29" s="1046"/>
      <c r="C29" s="92"/>
      <c r="D29" s="40" t="s">
        <v>41</v>
      </c>
      <c r="E29" s="30" t="s">
        <v>1777</v>
      </c>
      <c r="F29" s="5"/>
      <c r="G29" s="5"/>
      <c r="H29" s="5"/>
      <c r="I29" s="5"/>
      <c r="J29" s="5"/>
      <c r="K29" s="5"/>
    </row>
    <row r="30" spans="2:11" ht="15.75" thickBot="1" x14ac:dyDescent="0.3">
      <c r="B30" s="1046"/>
      <c r="C30" s="92"/>
      <c r="D30" s="40" t="s">
        <v>42</v>
      </c>
      <c r="E30" s="30" t="s">
        <v>1778</v>
      </c>
      <c r="F30" s="5"/>
      <c r="G30" s="5"/>
      <c r="H30" s="5"/>
      <c r="I30" s="5"/>
      <c r="J30" s="5"/>
      <c r="K30" s="5"/>
    </row>
    <row r="31" spans="2:11" ht="15.75" thickBot="1" x14ac:dyDescent="0.3">
      <c r="B31" s="1046"/>
      <c r="C31" s="92"/>
      <c r="D31" s="40" t="s">
        <v>43</v>
      </c>
      <c r="E31" s="515" t="s">
        <v>1779</v>
      </c>
      <c r="F31" s="5"/>
      <c r="G31" s="5"/>
      <c r="H31" s="5"/>
      <c r="I31" s="5"/>
      <c r="J31" s="5"/>
      <c r="K31" s="5"/>
    </row>
    <row r="32" spans="2:11" ht="15.75" thickBot="1" x14ac:dyDescent="0.3">
      <c r="B32" s="1046"/>
      <c r="C32" s="92"/>
      <c r="D32" s="40" t="s">
        <v>44</v>
      </c>
      <c r="E32" s="30">
        <v>4380200</v>
      </c>
      <c r="F32" s="5"/>
      <c r="G32" s="5"/>
      <c r="H32" s="5"/>
      <c r="I32" s="5"/>
      <c r="J32" s="5"/>
      <c r="K32" s="5"/>
    </row>
    <row r="33" spans="2:11" ht="15.75" thickBot="1" x14ac:dyDescent="0.3">
      <c r="B33" s="1047"/>
      <c r="C33" s="2"/>
      <c r="D33" s="40" t="s">
        <v>45</v>
      </c>
      <c r="E33" s="30" t="s">
        <v>1773</v>
      </c>
      <c r="F33" s="5"/>
      <c r="G33" s="5"/>
      <c r="H33" s="5"/>
      <c r="I33" s="5"/>
      <c r="J33" s="5"/>
      <c r="K33" s="5"/>
    </row>
    <row r="34" spans="2:11" ht="15.75" thickBot="1" x14ac:dyDescent="0.3">
      <c r="B34" s="1"/>
      <c r="C34" s="74"/>
      <c r="D34" s="5"/>
      <c r="E34" s="5"/>
      <c r="F34" s="5"/>
      <c r="G34" s="5"/>
      <c r="H34" s="5"/>
      <c r="I34" s="5"/>
      <c r="J34" s="5"/>
      <c r="K34" s="5"/>
    </row>
    <row r="35" spans="2:11" ht="15.75" thickBot="1" x14ac:dyDescent="0.3">
      <c r="B35" s="1054" t="s">
        <v>46</v>
      </c>
      <c r="C35" s="1055"/>
      <c r="D35" s="1055"/>
      <c r="E35" s="1056"/>
      <c r="F35" s="5"/>
      <c r="G35" s="5"/>
      <c r="H35" s="5"/>
      <c r="I35" s="5"/>
      <c r="J35" s="5"/>
      <c r="K35" s="5"/>
    </row>
    <row r="36" spans="2:11" ht="15.75" thickBot="1" x14ac:dyDescent="0.3">
      <c r="B36" s="1045">
        <v>1</v>
      </c>
      <c r="C36" s="92"/>
      <c r="D36" s="47" t="s">
        <v>39</v>
      </c>
      <c r="E36" s="233" t="s">
        <v>47</v>
      </c>
      <c r="F36" s="5"/>
      <c r="G36" s="5"/>
      <c r="H36" s="5"/>
      <c r="I36" s="5"/>
      <c r="J36" s="5"/>
      <c r="K36" s="5"/>
    </row>
    <row r="37" spans="2:11" ht="15.75" thickBot="1" x14ac:dyDescent="0.3">
      <c r="B37" s="1046"/>
      <c r="C37" s="92"/>
      <c r="D37" s="40" t="s">
        <v>40</v>
      </c>
      <c r="E37" s="233" t="s">
        <v>160</v>
      </c>
      <c r="F37" s="5"/>
      <c r="G37" s="5"/>
      <c r="H37" s="5"/>
      <c r="I37" s="5"/>
      <c r="J37" s="5"/>
      <c r="K37" s="5"/>
    </row>
    <row r="38" spans="2:11" ht="15.75" thickBot="1" x14ac:dyDescent="0.3">
      <c r="B38" s="1046"/>
      <c r="C38" s="92"/>
      <c r="D38" s="40" t="s">
        <v>41</v>
      </c>
      <c r="E38" s="237"/>
      <c r="F38" s="5"/>
      <c r="G38" s="5"/>
      <c r="H38" s="5"/>
      <c r="I38" s="5"/>
      <c r="J38" s="5"/>
      <c r="K38" s="5"/>
    </row>
    <row r="39" spans="2:11" ht="15.75" thickBot="1" x14ac:dyDescent="0.3">
      <c r="B39" s="1046"/>
      <c r="C39" s="92"/>
      <c r="D39" s="40" t="s">
        <v>42</v>
      </c>
      <c r="E39" s="237"/>
      <c r="F39" s="5"/>
      <c r="G39" s="5"/>
      <c r="H39" s="5"/>
      <c r="I39" s="5"/>
      <c r="J39" s="5"/>
      <c r="K39" s="5"/>
    </row>
    <row r="40" spans="2:11" ht="15.75" thickBot="1" x14ac:dyDescent="0.3">
      <c r="B40" s="1046"/>
      <c r="C40" s="92"/>
      <c r="D40" s="40" t="s">
        <v>43</v>
      </c>
      <c r="E40" s="237"/>
      <c r="F40" s="5"/>
      <c r="G40" s="5"/>
      <c r="H40" s="5"/>
      <c r="I40" s="5"/>
      <c r="J40" s="5"/>
      <c r="K40" s="5"/>
    </row>
    <row r="41" spans="2:11" ht="15.75" thickBot="1" x14ac:dyDescent="0.3">
      <c r="B41" s="1046"/>
      <c r="C41" s="92"/>
      <c r="D41" s="40" t="s">
        <v>44</v>
      </c>
      <c r="E41" s="237"/>
      <c r="F41" s="5"/>
      <c r="G41" s="5"/>
      <c r="H41" s="5"/>
      <c r="I41" s="5"/>
      <c r="J41" s="5"/>
      <c r="K41" s="5"/>
    </row>
    <row r="42" spans="2:11" ht="15.75" thickBot="1" x14ac:dyDescent="0.3">
      <c r="B42" s="1047"/>
      <c r="C42" s="2"/>
      <c r="D42" s="40" t="s">
        <v>45</v>
      </c>
      <c r="E42" s="237"/>
      <c r="F42" s="5"/>
      <c r="G42" s="5"/>
      <c r="H42" s="5"/>
      <c r="I42" s="5"/>
      <c r="J42" s="5"/>
      <c r="K42" s="5"/>
    </row>
    <row r="43" spans="2:11" ht="15.75" thickBot="1" x14ac:dyDescent="0.3">
      <c r="B43" s="1"/>
      <c r="C43" s="74"/>
      <c r="D43" s="5"/>
      <c r="E43" s="5"/>
      <c r="F43" s="5"/>
      <c r="G43" s="5"/>
      <c r="H43" s="5"/>
      <c r="I43" s="5"/>
      <c r="J43" s="5"/>
      <c r="K43" s="5"/>
    </row>
    <row r="44" spans="2:11" ht="15" customHeight="1" thickBot="1" x14ac:dyDescent="0.3">
      <c r="B44" s="236" t="s">
        <v>49</v>
      </c>
      <c r="C44" s="118"/>
      <c r="D44" s="118"/>
      <c r="E44" s="119"/>
      <c r="G44" s="5"/>
      <c r="H44" s="5"/>
      <c r="I44" s="5"/>
      <c r="J44" s="5"/>
      <c r="K44" s="5"/>
    </row>
    <row r="45" spans="2:11" ht="24.75" thickBot="1" x14ac:dyDescent="0.3">
      <c r="B45" s="46" t="s">
        <v>50</v>
      </c>
      <c r="C45" s="40" t="s">
        <v>51</v>
      </c>
      <c r="D45" s="40" t="s">
        <v>52</v>
      </c>
      <c r="E45" s="40" t="s">
        <v>53</v>
      </c>
      <c r="F45" s="5"/>
      <c r="G45" s="5"/>
      <c r="H45" s="5"/>
      <c r="I45" s="5"/>
      <c r="J45" s="5"/>
    </row>
    <row r="46" spans="2:11" ht="72.75" thickBot="1" x14ac:dyDescent="0.3">
      <c r="B46" s="48">
        <v>42401</v>
      </c>
      <c r="C46" s="40">
        <v>0.01</v>
      </c>
      <c r="D46" s="67" t="s">
        <v>182</v>
      </c>
      <c r="E46" s="40"/>
      <c r="F46" s="5"/>
      <c r="G46" s="5"/>
      <c r="H46" s="5"/>
      <c r="I46" s="5"/>
      <c r="J46" s="5"/>
    </row>
    <row r="47" spans="2:11" ht="15.75" thickBot="1" x14ac:dyDescent="0.3">
      <c r="B47" s="3"/>
      <c r="C47" s="93"/>
      <c r="D47" s="5"/>
      <c r="E47" s="5"/>
      <c r="F47" s="5"/>
      <c r="G47" s="5"/>
      <c r="H47" s="5"/>
      <c r="I47" s="5"/>
      <c r="J47" s="5"/>
      <c r="K47" s="5"/>
    </row>
    <row r="48" spans="2:11" x14ac:dyDescent="0.25">
      <c r="B48" s="127" t="s">
        <v>55</v>
      </c>
      <c r="C48" s="94"/>
      <c r="D48" s="5"/>
      <c r="E48" s="5"/>
      <c r="F48" s="5"/>
      <c r="G48" s="5"/>
      <c r="H48" s="5"/>
      <c r="I48" s="5"/>
      <c r="J48" s="5"/>
      <c r="K48" s="5"/>
    </row>
    <row r="49" spans="2:11" x14ac:dyDescent="0.25">
      <c r="B49" s="1072"/>
      <c r="C49" s="1073"/>
      <c r="D49" s="1073"/>
      <c r="E49" s="1074"/>
      <c r="F49" s="5"/>
      <c r="G49" s="5"/>
      <c r="H49" s="5"/>
      <c r="I49" s="5"/>
      <c r="J49" s="5"/>
      <c r="K49" s="5"/>
    </row>
    <row r="50" spans="2:11" ht="15.75" thickBot="1" x14ac:dyDescent="0.3">
      <c r="B50" s="5"/>
      <c r="D50" s="5"/>
      <c r="E50" s="5"/>
      <c r="F50" s="5"/>
      <c r="G50" s="5"/>
      <c r="H50" s="5"/>
      <c r="I50" s="5"/>
      <c r="J50" s="5"/>
      <c r="K50" s="5"/>
    </row>
    <row r="51" spans="2:11" ht="24.75" thickBot="1" x14ac:dyDescent="0.3">
      <c r="B51" s="50" t="s">
        <v>56</v>
      </c>
      <c r="C51" s="95"/>
      <c r="D51" s="5"/>
      <c r="E51" s="5"/>
      <c r="F51" s="5"/>
      <c r="G51" s="5"/>
      <c r="H51" s="5"/>
      <c r="I51" s="5"/>
      <c r="J51" s="5"/>
      <c r="K51" s="5"/>
    </row>
    <row r="52" spans="2:11" ht="15.75" thickBot="1" x14ac:dyDescent="0.3">
      <c r="B52" s="1"/>
      <c r="C52" s="74"/>
      <c r="D52" s="5"/>
      <c r="E52" s="5"/>
      <c r="F52" s="5"/>
      <c r="G52" s="5"/>
      <c r="H52" s="5"/>
      <c r="I52" s="5"/>
      <c r="J52" s="5"/>
      <c r="K52" s="5"/>
    </row>
    <row r="53" spans="2:11" ht="60.75" thickBot="1" x14ac:dyDescent="0.3">
      <c r="B53" s="51" t="s">
        <v>57</v>
      </c>
      <c r="C53" s="96"/>
      <c r="D53" s="42" t="s">
        <v>163</v>
      </c>
      <c r="E53" s="5"/>
      <c r="F53" s="5"/>
      <c r="G53" s="5"/>
      <c r="H53" s="5"/>
      <c r="I53" s="5"/>
      <c r="J53" s="5"/>
      <c r="K53" s="5"/>
    </row>
    <row r="54" spans="2:11" x14ac:dyDescent="0.25">
      <c r="B54" s="1045" t="s">
        <v>59</v>
      </c>
      <c r="C54" s="92"/>
      <c r="D54" s="52" t="s">
        <v>60</v>
      </c>
      <c r="E54" s="5"/>
      <c r="F54" s="5"/>
      <c r="G54" s="5"/>
      <c r="H54" s="5"/>
      <c r="I54" s="5"/>
      <c r="J54" s="5"/>
      <c r="K54" s="5"/>
    </row>
    <row r="55" spans="2:11" ht="60" x14ac:dyDescent="0.25">
      <c r="B55" s="1046"/>
      <c r="C55" s="92"/>
      <c r="D55" s="45" t="s">
        <v>164</v>
      </c>
      <c r="E55" s="5"/>
      <c r="F55" s="5"/>
      <c r="G55" s="5"/>
      <c r="H55" s="5"/>
      <c r="I55" s="5"/>
      <c r="J55" s="5"/>
      <c r="K55" s="5"/>
    </row>
    <row r="56" spans="2:11" x14ac:dyDescent="0.25">
      <c r="B56" s="1046"/>
      <c r="C56" s="92"/>
      <c r="D56" s="52" t="s">
        <v>134</v>
      </c>
      <c r="E56" s="5"/>
      <c r="F56" s="5"/>
      <c r="G56" s="5"/>
      <c r="H56" s="5"/>
      <c r="I56" s="5"/>
      <c r="J56" s="5"/>
      <c r="K56" s="5"/>
    </row>
    <row r="57" spans="2:11" x14ac:dyDescent="0.25">
      <c r="B57" s="1046"/>
      <c r="C57" s="92"/>
      <c r="D57" s="45" t="s">
        <v>64</v>
      </c>
      <c r="E57" s="5"/>
      <c r="F57" s="5"/>
      <c r="G57" s="5"/>
      <c r="H57" s="5"/>
      <c r="I57" s="5"/>
      <c r="J57" s="5"/>
      <c r="K57" s="5"/>
    </row>
    <row r="58" spans="2:11" x14ac:dyDescent="0.25">
      <c r="B58" s="1046"/>
      <c r="C58" s="92"/>
      <c r="D58" s="45" t="s">
        <v>165</v>
      </c>
      <c r="E58" s="5"/>
      <c r="F58" s="5"/>
      <c r="G58" s="5"/>
      <c r="H58" s="5"/>
      <c r="I58" s="5"/>
      <c r="J58" s="5"/>
      <c r="K58" s="5"/>
    </row>
    <row r="59" spans="2:11" x14ac:dyDescent="0.25">
      <c r="B59" s="1046"/>
      <c r="C59" s="92"/>
      <c r="D59" s="45" t="s">
        <v>166</v>
      </c>
      <c r="E59" s="5"/>
      <c r="F59" s="5"/>
      <c r="G59" s="5"/>
      <c r="H59" s="5"/>
      <c r="I59" s="5"/>
      <c r="J59" s="5"/>
      <c r="K59" s="5"/>
    </row>
    <row r="60" spans="2:11" x14ac:dyDescent="0.25">
      <c r="B60" s="1046"/>
      <c r="C60" s="92"/>
      <c r="D60" s="45" t="s">
        <v>167</v>
      </c>
      <c r="E60" s="5"/>
      <c r="F60" s="5"/>
      <c r="G60" s="5"/>
      <c r="H60" s="5"/>
      <c r="I60" s="5"/>
      <c r="J60" s="5"/>
      <c r="K60" s="5"/>
    </row>
    <row r="61" spans="2:11" x14ac:dyDescent="0.25">
      <c r="B61" s="1046"/>
      <c r="C61" s="92"/>
      <c r="D61" s="45" t="s">
        <v>168</v>
      </c>
      <c r="E61" s="5"/>
      <c r="F61" s="5"/>
      <c r="G61" s="5"/>
      <c r="H61" s="5"/>
      <c r="I61" s="5"/>
      <c r="J61" s="5"/>
      <c r="K61" s="5"/>
    </row>
    <row r="62" spans="2:11" ht="15.75" thickBot="1" x14ac:dyDescent="0.3">
      <c r="B62" s="1047"/>
      <c r="C62" s="2"/>
      <c r="D62" s="67"/>
      <c r="E62" s="5"/>
      <c r="F62" s="5"/>
      <c r="G62" s="5"/>
      <c r="H62" s="5"/>
      <c r="I62" s="5"/>
      <c r="J62" s="5"/>
      <c r="K62" s="5"/>
    </row>
    <row r="63" spans="2:11" ht="24.75" thickBot="1" x14ac:dyDescent="0.3">
      <c r="B63" s="46" t="s">
        <v>72</v>
      </c>
      <c r="C63" s="2"/>
      <c r="D63" s="40"/>
      <c r="E63" s="5"/>
      <c r="F63" s="5"/>
      <c r="G63" s="5"/>
      <c r="H63" s="5"/>
      <c r="I63" s="5"/>
      <c r="J63" s="5"/>
      <c r="K63" s="5"/>
    </row>
    <row r="64" spans="2:11" ht="108" x14ac:dyDescent="0.25">
      <c r="B64" s="1045" t="s">
        <v>73</v>
      </c>
      <c r="C64" s="92"/>
      <c r="D64" s="45" t="s">
        <v>169</v>
      </c>
      <c r="E64" s="5"/>
      <c r="F64" s="5"/>
      <c r="G64" s="5"/>
      <c r="H64" s="5"/>
      <c r="I64" s="5"/>
      <c r="J64" s="5"/>
      <c r="K64" s="5"/>
    </row>
    <row r="65" spans="2:11" ht="96" x14ac:dyDescent="0.25">
      <c r="B65" s="1046"/>
      <c r="C65" s="92"/>
      <c r="D65" s="45" t="s">
        <v>170</v>
      </c>
      <c r="E65" s="5"/>
      <c r="F65" s="5"/>
      <c r="G65" s="5"/>
      <c r="H65" s="5"/>
      <c r="I65" s="5"/>
      <c r="J65" s="5"/>
      <c r="K65" s="5"/>
    </row>
    <row r="66" spans="2:11" ht="120.75" thickBot="1" x14ac:dyDescent="0.3">
      <c r="B66" s="1047"/>
      <c r="C66" s="2"/>
      <c r="D66" s="40" t="s">
        <v>171</v>
      </c>
      <c r="E66" s="5"/>
      <c r="F66" s="5"/>
      <c r="G66" s="5"/>
      <c r="H66" s="5"/>
      <c r="I66" s="5"/>
      <c r="J66" s="5"/>
      <c r="K66" s="5"/>
    </row>
    <row r="67" spans="2:11" x14ac:dyDescent="0.25">
      <c r="B67" s="1045" t="s">
        <v>90</v>
      </c>
      <c r="C67" s="92"/>
      <c r="D67" s="45"/>
      <c r="E67" s="5"/>
      <c r="F67" s="5"/>
      <c r="G67" s="5"/>
      <c r="H67" s="5"/>
      <c r="I67" s="5"/>
      <c r="J67" s="5"/>
      <c r="K67" s="5"/>
    </row>
    <row r="68" spans="2:11" x14ac:dyDescent="0.25">
      <c r="B68" s="1046"/>
      <c r="C68" s="92"/>
      <c r="D68" s="16"/>
      <c r="E68" s="5"/>
      <c r="F68" s="5"/>
      <c r="G68" s="5"/>
      <c r="H68" s="5"/>
      <c r="I68" s="5"/>
      <c r="J68" s="5"/>
      <c r="K68" s="5"/>
    </row>
    <row r="69" spans="2:11" x14ac:dyDescent="0.25">
      <c r="B69" s="1046"/>
      <c r="C69" s="92"/>
      <c r="D69" s="45" t="s">
        <v>91</v>
      </c>
      <c r="E69" s="5"/>
      <c r="F69" s="5"/>
      <c r="G69" s="5"/>
      <c r="H69" s="5"/>
      <c r="I69" s="5"/>
      <c r="J69" s="5"/>
      <c r="K69" s="5"/>
    </row>
    <row r="70" spans="2:11" ht="37.5" x14ac:dyDescent="0.25">
      <c r="B70" s="1046"/>
      <c r="C70" s="92"/>
      <c r="D70" s="45" t="s">
        <v>172</v>
      </c>
      <c r="E70" s="5"/>
      <c r="F70" s="5"/>
      <c r="G70" s="5"/>
      <c r="H70" s="5"/>
      <c r="I70" s="5"/>
      <c r="J70" s="5"/>
      <c r="K70" s="5"/>
    </row>
    <row r="71" spans="2:11" ht="37.5" x14ac:dyDescent="0.25">
      <c r="B71" s="1046"/>
      <c r="C71" s="92"/>
      <c r="D71" s="45" t="s">
        <v>173</v>
      </c>
      <c r="E71" s="5"/>
      <c r="F71" s="5"/>
      <c r="G71" s="5"/>
      <c r="H71" s="5"/>
      <c r="I71" s="5"/>
      <c r="J71" s="5"/>
      <c r="K71" s="5"/>
    </row>
    <row r="72" spans="2:11" ht="37.5" x14ac:dyDescent="0.25">
      <c r="B72" s="1046"/>
      <c r="C72" s="92"/>
      <c r="D72" s="45" t="s">
        <v>174</v>
      </c>
      <c r="E72" s="5"/>
      <c r="F72" s="5"/>
      <c r="G72" s="5"/>
      <c r="H72" s="5"/>
      <c r="I72" s="5"/>
      <c r="J72" s="5"/>
      <c r="K72" s="5"/>
    </row>
    <row r="73" spans="2:11" ht="48.75" thickBot="1" x14ac:dyDescent="0.3">
      <c r="B73" s="1047"/>
      <c r="C73" s="2"/>
      <c r="D73" s="40" t="s">
        <v>175</v>
      </c>
      <c r="E73" s="5"/>
      <c r="F73" s="5"/>
      <c r="G73" s="5"/>
      <c r="H73" s="5"/>
      <c r="I73" s="5"/>
      <c r="J73" s="5"/>
      <c r="K73" s="5"/>
    </row>
    <row r="74" spans="2:11" x14ac:dyDescent="0.25">
      <c r="B74" s="5"/>
      <c r="D74" s="5"/>
      <c r="E74" s="5"/>
      <c r="F74" s="5"/>
      <c r="G74" s="5"/>
      <c r="H74" s="5"/>
      <c r="I74" s="5"/>
      <c r="J74" s="5"/>
      <c r="K74" s="5"/>
    </row>
    <row r="75" spans="2:11" x14ac:dyDescent="0.25">
      <c r="B75" s="5"/>
      <c r="D75" s="5"/>
      <c r="E75" s="5"/>
      <c r="F75" s="5"/>
      <c r="G75" s="5"/>
      <c r="H75" s="5"/>
      <c r="I75" s="5"/>
      <c r="J75" s="5"/>
      <c r="K75" s="5"/>
    </row>
  </sheetData>
  <mergeCells count="23">
    <mergeCell ref="B10:D10"/>
    <mergeCell ref="F10:S10"/>
    <mergeCell ref="F11:S11"/>
    <mergeCell ref="E12:R12"/>
    <mergeCell ref="E13:R13"/>
    <mergeCell ref="B67:B73"/>
    <mergeCell ref="B15:B22"/>
    <mergeCell ref="D23:J23"/>
    <mergeCell ref="D24:J24"/>
    <mergeCell ref="B26:E26"/>
    <mergeCell ref="B27:B33"/>
    <mergeCell ref="B35:E35"/>
    <mergeCell ref="D15:J15"/>
    <mergeCell ref="D18:J18"/>
    <mergeCell ref="B36:B42"/>
    <mergeCell ref="B54:B62"/>
    <mergeCell ref="B64:B66"/>
    <mergeCell ref="B49:E49"/>
    <mergeCell ref="A1:P1"/>
    <mergeCell ref="A2:P2"/>
    <mergeCell ref="A3:P3"/>
    <mergeCell ref="A4:D4"/>
    <mergeCell ref="A5:P5"/>
  </mergeCells>
  <conditionalFormatting sqref="F10">
    <cfRule type="notContainsBlanks" dxfId="120" priority="4">
      <formula>LEN(TRIM(F10))&gt;0</formula>
    </cfRule>
  </conditionalFormatting>
  <conditionalFormatting sqref="F11:S11">
    <cfRule type="expression" dxfId="119" priority="2">
      <formula>E11="NO SE REPORTA"</formula>
    </cfRule>
    <cfRule type="expression" dxfId="118" priority="3">
      <formula>E10="NO APLICA"</formula>
    </cfRule>
  </conditionalFormatting>
  <conditionalFormatting sqref="E12:R12">
    <cfRule type="expression" dxfId="117"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31" r:id="rId1"/>
  </hyperlinks>
  <pageMargins left="0.25" right="0.25" top="0.75" bottom="0.75" header="0.3" footer="0.3"/>
  <pageSetup paperSize="178" orientation="landscape"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showGridLines="0" zoomScale="98" zoomScaleNormal="98" workbookViewId="0">
      <selection activeCell="N18" sqref="N18"/>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183</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+G23</f>
        <v>1</v>
      </c>
      <c r="E8" s="210"/>
      <c r="F8" s="5" t="s">
        <v>130</v>
      </c>
      <c r="G8" s="5"/>
      <c r="H8" s="5"/>
      <c r="I8" s="5"/>
      <c r="J8" s="5"/>
      <c r="K8" s="5"/>
    </row>
    <row r="9" spans="1:21" x14ac:dyDescent="0.25">
      <c r="B9" s="363" t="s">
        <v>1193</v>
      </c>
      <c r="C9" s="86"/>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t="s">
        <v>1804</v>
      </c>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1904</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t="s">
        <v>2043</v>
      </c>
      <c r="F13" s="1020"/>
      <c r="G13" s="1020"/>
      <c r="H13" s="1020"/>
      <c r="I13" s="1020"/>
      <c r="J13" s="1020"/>
      <c r="K13" s="1020"/>
      <c r="L13" s="1020"/>
      <c r="M13" s="1020"/>
      <c r="N13" s="1020"/>
      <c r="O13" s="1020"/>
      <c r="P13" s="1020"/>
      <c r="Q13" s="1020"/>
      <c r="R13" s="1021"/>
    </row>
    <row r="14" spans="1:21" ht="7.15" customHeight="1" thickBot="1" x14ac:dyDescent="0.3">
      <c r="B14" s="363"/>
      <c r="C14" s="86"/>
      <c r="D14" s="5"/>
      <c r="E14" s="5"/>
      <c r="F14" s="5"/>
      <c r="G14" s="5"/>
      <c r="H14" s="5"/>
      <c r="I14" s="5"/>
      <c r="J14" s="5"/>
      <c r="K14" s="5"/>
    </row>
    <row r="15" spans="1:21" ht="15.75" thickBot="1" x14ac:dyDescent="0.3">
      <c r="B15" s="1045" t="s">
        <v>2</v>
      </c>
      <c r="C15" s="87"/>
      <c r="D15" s="1036" t="s">
        <v>3</v>
      </c>
      <c r="E15" s="1037"/>
      <c r="F15" s="1037"/>
      <c r="G15" s="1037"/>
      <c r="H15" s="1037"/>
      <c r="I15" s="1037"/>
      <c r="J15" s="1038"/>
      <c r="K15" s="5"/>
    </row>
    <row r="16" spans="1:21" ht="24.75" thickBot="1" x14ac:dyDescent="0.3">
      <c r="B16" s="1046"/>
      <c r="C16" s="92"/>
      <c r="D16" s="42" t="s">
        <v>193</v>
      </c>
      <c r="E16" s="204">
        <v>16</v>
      </c>
      <c r="F16" s="5"/>
      <c r="G16" s="5"/>
      <c r="H16" s="5"/>
      <c r="I16" s="5"/>
      <c r="J16" s="21"/>
      <c r="K16" s="5"/>
    </row>
    <row r="17" spans="2:11" ht="40.700000000000003" customHeight="1" thickBot="1" x14ac:dyDescent="0.3">
      <c r="B17" s="1046"/>
      <c r="C17" s="92"/>
      <c r="D17" s="40" t="s">
        <v>1459</v>
      </c>
      <c r="E17" s="204">
        <v>0</v>
      </c>
      <c r="F17" s="5"/>
      <c r="G17" s="5"/>
      <c r="H17" s="5"/>
      <c r="I17" s="5"/>
      <c r="J17" s="21"/>
      <c r="K17" s="5"/>
    </row>
    <row r="18" spans="2:11" ht="36.75" thickBot="1" x14ac:dyDescent="0.3">
      <c r="B18" s="1046"/>
      <c r="C18" s="92"/>
      <c r="D18" s="40" t="s">
        <v>194</v>
      </c>
      <c r="E18" s="204">
        <v>4</v>
      </c>
      <c r="F18" s="5"/>
      <c r="G18" s="5"/>
      <c r="H18" s="5"/>
      <c r="I18" s="5"/>
      <c r="J18" s="21"/>
      <c r="K18" s="5"/>
    </row>
    <row r="19" spans="2:11" ht="15.75" thickBot="1" x14ac:dyDescent="0.3">
      <c r="B19" s="1046"/>
      <c r="C19" s="90"/>
      <c r="D19" s="1051"/>
      <c r="E19" s="1052"/>
      <c r="F19" s="1052"/>
      <c r="G19" s="1052"/>
      <c r="H19" s="1052"/>
      <c r="I19" s="1052"/>
      <c r="J19" s="1053"/>
      <c r="K19" s="5"/>
    </row>
    <row r="20" spans="2:11" ht="15.75" thickBot="1" x14ac:dyDescent="0.3">
      <c r="B20" s="1046"/>
      <c r="C20" s="96" t="s">
        <v>19</v>
      </c>
      <c r="D20" s="42" t="s">
        <v>150</v>
      </c>
      <c r="E20" s="38" t="s">
        <v>20</v>
      </c>
      <c r="F20" s="38" t="s">
        <v>21</v>
      </c>
      <c r="G20" s="38" t="s">
        <v>22</v>
      </c>
      <c r="H20" s="38" t="s">
        <v>23</v>
      </c>
      <c r="I20" s="38" t="s">
        <v>151</v>
      </c>
      <c r="J20" s="109"/>
      <c r="K20" s="5"/>
    </row>
    <row r="21" spans="2:11" ht="36.75" thickBot="1" x14ac:dyDescent="0.3">
      <c r="B21" s="1046"/>
      <c r="C21" s="2" t="s">
        <v>152</v>
      </c>
      <c r="D21" s="40" t="s">
        <v>195</v>
      </c>
      <c r="E21" s="204">
        <v>0</v>
      </c>
      <c r="F21" s="204">
        <v>0</v>
      </c>
      <c r="G21" s="204">
        <v>2</v>
      </c>
      <c r="H21" s="204">
        <v>2</v>
      </c>
      <c r="I21" s="41">
        <f>SUM(E21:H21)</f>
        <v>4</v>
      </c>
      <c r="J21" s="110"/>
      <c r="K21" s="5"/>
    </row>
    <row r="22" spans="2:11" ht="36.75" thickBot="1" x14ac:dyDescent="0.3">
      <c r="B22" s="1046"/>
      <c r="C22" s="2" t="s">
        <v>154</v>
      </c>
      <c r="D22" s="40" t="s">
        <v>196</v>
      </c>
      <c r="E22" s="204">
        <v>0</v>
      </c>
      <c r="F22" s="204">
        <v>0</v>
      </c>
      <c r="G22" s="204">
        <v>2</v>
      </c>
      <c r="H22" s="204"/>
      <c r="I22" s="41">
        <f>SUM(E22:H22)</f>
        <v>2</v>
      </c>
      <c r="J22" s="110"/>
      <c r="K22" s="5"/>
    </row>
    <row r="23" spans="2:11" ht="36.75" thickBot="1" x14ac:dyDescent="0.3">
      <c r="B23" s="1047"/>
      <c r="C23" s="2" t="s">
        <v>156</v>
      </c>
      <c r="D23" s="40" t="s">
        <v>197</v>
      </c>
      <c r="E23" s="183" t="str">
        <f>IFERROR(E22/E21,"N.A.")</f>
        <v>N.A.</v>
      </c>
      <c r="F23" s="183" t="str">
        <f>IFERROR(F22/F21,"N.A.")</f>
        <v>N.A.</v>
      </c>
      <c r="G23" s="183">
        <f>IFERROR(G22/G21,"N.A.")</f>
        <v>1</v>
      </c>
      <c r="H23" s="183">
        <f>IFERROR(H22/H21,"N.A.")</f>
        <v>0</v>
      </c>
      <c r="I23" s="183">
        <f>IFERROR(I22/I21,"N.A.")</f>
        <v>0.5</v>
      </c>
      <c r="J23" s="111"/>
      <c r="K23" s="5"/>
    </row>
    <row r="24" spans="2:11" ht="24" customHeight="1" thickBot="1" x14ac:dyDescent="0.3">
      <c r="B24" s="46" t="s">
        <v>34</v>
      </c>
      <c r="C24" s="91"/>
      <c r="D24" s="1048" t="s">
        <v>198</v>
      </c>
      <c r="E24" s="1049"/>
      <c r="F24" s="1049"/>
      <c r="G24" s="1049"/>
      <c r="H24" s="1049"/>
      <c r="I24" s="1049"/>
      <c r="J24" s="1050"/>
      <c r="K24" s="5"/>
    </row>
    <row r="25" spans="2:11" ht="24.75" thickBot="1" x14ac:dyDescent="0.3">
      <c r="B25" s="46" t="s">
        <v>36</v>
      </c>
      <c r="C25" s="91"/>
      <c r="D25" s="1048" t="s">
        <v>159</v>
      </c>
      <c r="E25" s="1049"/>
      <c r="F25" s="1049"/>
      <c r="G25" s="1049"/>
      <c r="H25" s="1049"/>
      <c r="I25" s="1049"/>
      <c r="J25" s="1050"/>
      <c r="K25" s="5"/>
    </row>
    <row r="26" spans="2:11" ht="15.75" thickBot="1" x14ac:dyDescent="0.3">
      <c r="B26" s="1"/>
      <c r="C26" s="74"/>
      <c r="D26" s="5"/>
      <c r="E26" s="5"/>
      <c r="F26" s="5"/>
      <c r="G26" s="5"/>
      <c r="H26" s="5"/>
      <c r="I26" s="5"/>
      <c r="J26" s="5"/>
      <c r="K26" s="5"/>
    </row>
    <row r="27" spans="2:11" ht="15" customHeight="1" thickBot="1" x14ac:dyDescent="0.3">
      <c r="B27" s="117" t="s">
        <v>38</v>
      </c>
      <c r="C27" s="118"/>
      <c r="D27" s="118"/>
      <c r="E27" s="118"/>
      <c r="F27" s="119"/>
      <c r="G27" s="5"/>
      <c r="H27" s="5"/>
      <c r="I27" s="5"/>
      <c r="J27" s="5"/>
      <c r="K27" s="5"/>
    </row>
    <row r="28" spans="2:11" ht="15.75" thickBot="1" x14ac:dyDescent="0.3">
      <c r="B28" s="1045">
        <v>1</v>
      </c>
      <c r="C28" s="92"/>
      <c r="D28" s="47" t="s">
        <v>39</v>
      </c>
      <c r="E28" s="30" t="s">
        <v>1771</v>
      </c>
      <c r="F28" s="58"/>
      <c r="G28" s="5"/>
      <c r="H28" s="5"/>
      <c r="I28" s="5"/>
      <c r="J28" s="5"/>
      <c r="K28" s="5"/>
    </row>
    <row r="29" spans="2:11" ht="15.75" thickBot="1" x14ac:dyDescent="0.3">
      <c r="B29" s="1046"/>
      <c r="C29" s="92"/>
      <c r="D29" s="40" t="s">
        <v>40</v>
      </c>
      <c r="E29" s="30" t="s">
        <v>1776</v>
      </c>
      <c r="F29" s="58"/>
      <c r="G29" s="5"/>
      <c r="H29" s="5"/>
      <c r="I29" s="5"/>
      <c r="J29" s="5"/>
      <c r="K29" s="5"/>
    </row>
    <row r="30" spans="2:11" ht="15.75" thickBot="1" x14ac:dyDescent="0.3">
      <c r="B30" s="1046"/>
      <c r="C30" s="92"/>
      <c r="D30" s="40" t="s">
        <v>41</v>
      </c>
      <c r="E30" s="30" t="s">
        <v>1777</v>
      </c>
      <c r="F30" s="58"/>
      <c r="G30" s="5"/>
      <c r="H30" s="5"/>
      <c r="I30" s="5"/>
      <c r="J30" s="5"/>
      <c r="K30" s="5"/>
    </row>
    <row r="31" spans="2:11" ht="15.75" thickBot="1" x14ac:dyDescent="0.3">
      <c r="B31" s="1046"/>
      <c r="C31" s="92"/>
      <c r="D31" s="40" t="s">
        <v>42</v>
      </c>
      <c r="E31" s="30" t="s">
        <v>1778</v>
      </c>
      <c r="F31" s="58"/>
      <c r="G31" s="5"/>
      <c r="H31" s="5"/>
      <c r="I31" s="5"/>
      <c r="J31" s="5"/>
      <c r="K31" s="5"/>
    </row>
    <row r="32" spans="2:11" ht="15.75" thickBot="1" x14ac:dyDescent="0.3">
      <c r="B32" s="1046"/>
      <c r="C32" s="92"/>
      <c r="D32" s="40" t="s">
        <v>43</v>
      </c>
      <c r="E32" s="515" t="s">
        <v>1779</v>
      </c>
      <c r="F32" s="58"/>
      <c r="G32" s="5"/>
      <c r="H32" s="5"/>
      <c r="I32" s="5"/>
      <c r="J32" s="5"/>
      <c r="K32" s="5"/>
    </row>
    <row r="33" spans="2:11" ht="15.75" thickBot="1" x14ac:dyDescent="0.3">
      <c r="B33" s="1046"/>
      <c r="C33" s="92"/>
      <c r="D33" s="40" t="s">
        <v>44</v>
      </c>
      <c r="E33" s="30">
        <v>4380200</v>
      </c>
      <c r="F33" s="58"/>
      <c r="G33" s="5"/>
      <c r="H33" s="5"/>
      <c r="I33" s="5"/>
      <c r="J33" s="5"/>
      <c r="K33" s="5"/>
    </row>
    <row r="34" spans="2:11" ht="15.75" thickBot="1" x14ac:dyDescent="0.3">
      <c r="B34" s="1047"/>
      <c r="C34" s="2"/>
      <c r="D34" s="40" t="s">
        <v>45</v>
      </c>
      <c r="E34" s="30" t="s">
        <v>1773</v>
      </c>
      <c r="F34" s="58"/>
      <c r="G34" s="5"/>
      <c r="H34" s="5"/>
      <c r="I34" s="5"/>
      <c r="J34" s="5"/>
      <c r="K34" s="5"/>
    </row>
    <row r="35" spans="2:11" ht="15.75" thickBot="1" x14ac:dyDescent="0.3">
      <c r="B35" s="1"/>
      <c r="C35" s="74"/>
      <c r="D35" s="5"/>
      <c r="E35" s="5"/>
      <c r="F35" s="5"/>
      <c r="G35" s="5"/>
      <c r="H35" s="5"/>
      <c r="I35" s="5"/>
      <c r="J35" s="5"/>
      <c r="K35" s="5"/>
    </row>
    <row r="36" spans="2:11" ht="15" customHeight="1" thickBot="1" x14ac:dyDescent="0.3">
      <c r="B36" s="117" t="s">
        <v>46</v>
      </c>
      <c r="C36" s="118"/>
      <c r="D36" s="118"/>
      <c r="E36" s="118"/>
      <c r="F36" s="119"/>
      <c r="G36" s="5"/>
      <c r="H36" s="5"/>
      <c r="I36" s="5"/>
      <c r="J36" s="5"/>
      <c r="K36" s="5"/>
    </row>
    <row r="37" spans="2:11" ht="15.75" thickBot="1" x14ac:dyDescent="0.3">
      <c r="B37" s="1045">
        <v>1</v>
      </c>
      <c r="C37" s="92"/>
      <c r="D37" s="47" t="s">
        <v>39</v>
      </c>
      <c r="E37" s="233" t="s">
        <v>47</v>
      </c>
      <c r="F37" s="58"/>
      <c r="G37" s="5"/>
      <c r="H37" s="5"/>
      <c r="I37" s="5"/>
      <c r="J37" s="5"/>
      <c r="K37" s="5"/>
    </row>
    <row r="38" spans="2:11" ht="15.75" thickBot="1" x14ac:dyDescent="0.3">
      <c r="B38" s="1046"/>
      <c r="C38" s="92"/>
      <c r="D38" s="40" t="s">
        <v>40</v>
      </c>
      <c r="E38" s="233" t="s">
        <v>160</v>
      </c>
      <c r="F38" s="58"/>
      <c r="G38" s="5"/>
      <c r="H38" s="5"/>
      <c r="I38" s="5"/>
      <c r="J38" s="5"/>
      <c r="K38" s="5"/>
    </row>
    <row r="39" spans="2:11" ht="15.75" thickBot="1" x14ac:dyDescent="0.3">
      <c r="B39" s="1046"/>
      <c r="C39" s="92"/>
      <c r="D39" s="40" t="s">
        <v>41</v>
      </c>
      <c r="E39" s="237"/>
      <c r="F39" s="58"/>
      <c r="G39" s="5"/>
      <c r="H39" s="5"/>
      <c r="I39" s="5"/>
      <c r="J39" s="5"/>
      <c r="K39" s="5"/>
    </row>
    <row r="40" spans="2:11" ht="15.75" thickBot="1" x14ac:dyDescent="0.3">
      <c r="B40" s="1046"/>
      <c r="C40" s="92"/>
      <c r="D40" s="40" t="s">
        <v>42</v>
      </c>
      <c r="E40" s="237"/>
      <c r="F40" s="58"/>
      <c r="G40" s="5"/>
      <c r="H40" s="5"/>
      <c r="I40" s="5"/>
      <c r="J40" s="5"/>
      <c r="K40" s="5"/>
    </row>
    <row r="41" spans="2:11" ht="15.75" thickBot="1" x14ac:dyDescent="0.3">
      <c r="B41" s="1046"/>
      <c r="C41" s="92"/>
      <c r="D41" s="40" t="s">
        <v>43</v>
      </c>
      <c r="E41" s="237"/>
      <c r="F41" s="58"/>
      <c r="G41" s="5"/>
      <c r="H41" s="5"/>
      <c r="I41" s="5"/>
      <c r="J41" s="5"/>
      <c r="K41" s="5"/>
    </row>
    <row r="42" spans="2:11" ht="15.75" thickBot="1" x14ac:dyDescent="0.3">
      <c r="B42" s="1046"/>
      <c r="C42" s="92"/>
      <c r="D42" s="40" t="s">
        <v>44</v>
      </c>
      <c r="E42" s="237"/>
      <c r="F42" s="58"/>
      <c r="G42" s="5"/>
      <c r="H42" s="5"/>
      <c r="I42" s="5"/>
      <c r="J42" s="5"/>
      <c r="K42" s="5"/>
    </row>
    <row r="43" spans="2:11" ht="15.75" thickBot="1" x14ac:dyDescent="0.3">
      <c r="B43" s="1047"/>
      <c r="C43" s="2"/>
      <c r="D43" s="40" t="s">
        <v>45</v>
      </c>
      <c r="E43" s="237"/>
      <c r="F43" s="58"/>
      <c r="G43" s="5"/>
      <c r="H43" s="5"/>
      <c r="I43" s="5"/>
      <c r="J43" s="5"/>
      <c r="K43" s="5"/>
    </row>
    <row r="44" spans="2:11" ht="15.75" thickBot="1" x14ac:dyDescent="0.3">
      <c r="B44" s="1"/>
      <c r="C44" s="74"/>
      <c r="D44" s="5"/>
      <c r="E44" s="5"/>
      <c r="F44" s="5"/>
      <c r="G44" s="5"/>
      <c r="H44" s="5"/>
      <c r="I44" s="5"/>
      <c r="J44" s="5"/>
      <c r="K44" s="5"/>
    </row>
    <row r="45" spans="2:11" ht="15" customHeight="1" thickBot="1" x14ac:dyDescent="0.3">
      <c r="B45" s="117" t="s">
        <v>49</v>
      </c>
      <c r="C45" s="118"/>
      <c r="D45" s="118"/>
      <c r="E45" s="119"/>
      <c r="G45" s="5"/>
      <c r="H45" s="5"/>
      <c r="I45" s="5"/>
      <c r="J45" s="5"/>
      <c r="K45" s="5"/>
    </row>
    <row r="46" spans="2:11" ht="24.75" thickBot="1" x14ac:dyDescent="0.3">
      <c r="B46" s="46" t="s">
        <v>50</v>
      </c>
      <c r="C46" s="40" t="s">
        <v>51</v>
      </c>
      <c r="D46" s="40" t="s">
        <v>52</v>
      </c>
      <c r="E46" s="40" t="s">
        <v>53</v>
      </c>
      <c r="F46" s="5"/>
      <c r="G46" s="5"/>
      <c r="H46" s="5"/>
      <c r="I46" s="5"/>
      <c r="J46" s="5"/>
    </row>
    <row r="47" spans="2:11" ht="72.75" thickBot="1" x14ac:dyDescent="0.3">
      <c r="B47" s="48">
        <v>42401</v>
      </c>
      <c r="C47" s="40">
        <v>0.01</v>
      </c>
      <c r="D47" s="67" t="s">
        <v>199</v>
      </c>
      <c r="E47" s="40"/>
      <c r="F47" s="5"/>
      <c r="G47" s="5"/>
      <c r="H47" s="5"/>
      <c r="I47" s="5"/>
      <c r="J47" s="5"/>
    </row>
    <row r="48" spans="2:11" ht="15.75" thickBot="1" x14ac:dyDescent="0.3">
      <c r="B48" s="3"/>
      <c r="C48" s="93"/>
      <c r="D48" s="5"/>
      <c r="E48" s="5"/>
      <c r="F48" s="5"/>
      <c r="G48" s="5"/>
      <c r="H48" s="5"/>
      <c r="I48" s="5"/>
      <c r="J48" s="5"/>
      <c r="K48" s="5"/>
    </row>
    <row r="49" spans="2:11" x14ac:dyDescent="0.25">
      <c r="B49" s="127" t="s">
        <v>55</v>
      </c>
      <c r="C49" s="94"/>
      <c r="D49" s="5"/>
      <c r="E49" s="5"/>
      <c r="F49" s="5"/>
      <c r="G49" s="5"/>
      <c r="H49" s="5"/>
      <c r="I49" s="5"/>
      <c r="J49" s="5"/>
      <c r="K49" s="5"/>
    </row>
    <row r="50" spans="2:11" x14ac:dyDescent="0.25">
      <c r="B50" s="1075"/>
      <c r="C50" s="1076"/>
      <c r="D50" s="1076"/>
      <c r="E50" s="1077"/>
      <c r="F50" s="5"/>
      <c r="G50" s="5"/>
      <c r="H50" s="5"/>
      <c r="I50" s="5"/>
      <c r="J50" s="5"/>
      <c r="K50" s="5"/>
    </row>
    <row r="51" spans="2:11" x14ac:dyDescent="0.25">
      <c r="B51" s="1078"/>
      <c r="C51" s="1079"/>
      <c r="D51" s="1079"/>
      <c r="E51" s="1080"/>
      <c r="F51" s="5"/>
      <c r="G51" s="5"/>
      <c r="H51" s="5"/>
      <c r="I51" s="5"/>
      <c r="J51" s="5"/>
      <c r="K51" s="5"/>
    </row>
    <row r="52" spans="2:11" ht="15.75" thickBot="1" x14ac:dyDescent="0.3">
      <c r="B52" s="5"/>
      <c r="D52" s="5"/>
      <c r="E52" s="5"/>
      <c r="F52" s="5"/>
      <c r="G52" s="5"/>
      <c r="H52" s="5"/>
      <c r="I52" s="5"/>
      <c r="J52" s="5"/>
      <c r="K52" s="5"/>
    </row>
    <row r="53" spans="2:11" ht="24.75" thickBot="1" x14ac:dyDescent="0.3">
      <c r="B53" s="50" t="s">
        <v>56</v>
      </c>
      <c r="C53" s="95"/>
      <c r="D53" s="5"/>
      <c r="E53" s="5"/>
      <c r="F53" s="5"/>
      <c r="G53" s="5"/>
      <c r="H53" s="5"/>
      <c r="I53" s="5"/>
      <c r="J53" s="5"/>
      <c r="K53" s="5"/>
    </row>
    <row r="54" spans="2:11" ht="15.75" thickBot="1" x14ac:dyDescent="0.3">
      <c r="B54" s="1"/>
      <c r="C54" s="74"/>
      <c r="D54" s="5"/>
      <c r="E54" s="5"/>
      <c r="F54" s="5"/>
      <c r="G54" s="5"/>
      <c r="H54" s="5"/>
      <c r="I54" s="5"/>
      <c r="J54" s="5"/>
      <c r="K54" s="5"/>
    </row>
    <row r="55" spans="2:11" ht="60.75" thickBot="1" x14ac:dyDescent="0.3">
      <c r="B55" s="51" t="s">
        <v>57</v>
      </c>
      <c r="C55" s="96"/>
      <c r="D55" s="42" t="s">
        <v>184</v>
      </c>
      <c r="E55" s="5"/>
      <c r="F55" s="5"/>
      <c r="G55" s="5"/>
      <c r="H55" s="5"/>
      <c r="I55" s="5"/>
      <c r="J55" s="5"/>
      <c r="K55" s="5"/>
    </row>
    <row r="56" spans="2:11" x14ac:dyDescent="0.25">
      <c r="B56" s="1045" t="s">
        <v>59</v>
      </c>
      <c r="C56" s="92"/>
      <c r="D56" s="52" t="s">
        <v>60</v>
      </c>
      <c r="E56" s="5"/>
      <c r="F56" s="5"/>
      <c r="G56" s="5"/>
      <c r="H56" s="5"/>
      <c r="I56" s="5"/>
      <c r="J56" s="5"/>
      <c r="K56" s="5"/>
    </row>
    <row r="57" spans="2:11" ht="60" x14ac:dyDescent="0.25">
      <c r="B57" s="1046"/>
      <c r="C57" s="92"/>
      <c r="D57" s="45" t="s">
        <v>185</v>
      </c>
      <c r="E57" s="5"/>
      <c r="F57" s="5"/>
      <c r="G57" s="5"/>
      <c r="H57" s="5"/>
      <c r="I57" s="5"/>
      <c r="J57" s="5"/>
      <c r="K57" s="5"/>
    </row>
    <row r="58" spans="2:11" x14ac:dyDescent="0.25">
      <c r="B58" s="1046"/>
      <c r="C58" s="92"/>
      <c r="D58" s="52" t="s">
        <v>134</v>
      </c>
      <c r="E58" s="5"/>
      <c r="F58" s="5"/>
      <c r="G58" s="5"/>
      <c r="H58" s="5"/>
      <c r="I58" s="5"/>
      <c r="J58" s="5"/>
      <c r="K58" s="5"/>
    </row>
    <row r="59" spans="2:11" ht="24" x14ac:dyDescent="0.25">
      <c r="B59" s="1046"/>
      <c r="C59" s="92"/>
      <c r="D59" s="45" t="s">
        <v>136</v>
      </c>
      <c r="E59" s="5"/>
      <c r="F59" s="5"/>
      <c r="G59" s="5"/>
      <c r="H59" s="5"/>
      <c r="I59" s="5"/>
      <c r="J59" s="5"/>
      <c r="K59" s="5"/>
    </row>
    <row r="60" spans="2:11" x14ac:dyDescent="0.25">
      <c r="B60" s="1046"/>
      <c r="C60" s="92"/>
      <c r="D60" s="45" t="s">
        <v>165</v>
      </c>
      <c r="E60" s="5"/>
      <c r="F60" s="5"/>
      <c r="G60" s="5"/>
      <c r="H60" s="5"/>
      <c r="I60" s="5"/>
      <c r="J60" s="5"/>
      <c r="K60" s="5"/>
    </row>
    <row r="61" spans="2:11" ht="36" x14ac:dyDescent="0.25">
      <c r="B61" s="1046"/>
      <c r="C61" s="92"/>
      <c r="D61" s="45" t="s">
        <v>140</v>
      </c>
      <c r="E61" s="5"/>
      <c r="F61" s="5"/>
      <c r="G61" s="5"/>
      <c r="H61" s="5"/>
      <c r="I61" s="5"/>
      <c r="J61" s="5"/>
      <c r="K61" s="5"/>
    </row>
    <row r="62" spans="2:11" x14ac:dyDescent="0.25">
      <c r="B62" s="1046"/>
      <c r="C62" s="92"/>
      <c r="D62" s="52" t="s">
        <v>141</v>
      </c>
      <c r="E62" s="5"/>
      <c r="F62" s="5"/>
      <c r="G62" s="5"/>
      <c r="H62" s="5"/>
      <c r="I62" s="5"/>
      <c r="J62" s="5"/>
      <c r="K62" s="5"/>
    </row>
    <row r="63" spans="2:11" ht="24.75" thickBot="1" x14ac:dyDescent="0.3">
      <c r="B63" s="1047"/>
      <c r="C63" s="2"/>
      <c r="D63" s="40" t="s">
        <v>142</v>
      </c>
      <c r="E63" s="5"/>
      <c r="F63" s="5"/>
      <c r="G63" s="5"/>
      <c r="H63" s="5"/>
      <c r="I63" s="5"/>
      <c r="J63" s="5"/>
      <c r="K63" s="5"/>
    </row>
    <row r="64" spans="2:11" ht="24.75" thickBot="1" x14ac:dyDescent="0.3">
      <c r="B64" s="46" t="s">
        <v>72</v>
      </c>
      <c r="C64" s="2"/>
      <c r="D64" s="40"/>
      <c r="E64" s="5"/>
      <c r="F64" s="5"/>
      <c r="G64" s="5"/>
      <c r="H64" s="5"/>
      <c r="I64" s="5"/>
      <c r="J64" s="5"/>
      <c r="K64" s="5"/>
    </row>
    <row r="65" spans="2:11" ht="108" x14ac:dyDescent="0.25">
      <c r="B65" s="1045" t="s">
        <v>73</v>
      </c>
      <c r="C65" s="92"/>
      <c r="D65" s="45" t="s">
        <v>186</v>
      </c>
      <c r="E65" s="5"/>
      <c r="F65" s="5"/>
      <c r="G65" s="5"/>
      <c r="H65" s="5"/>
      <c r="I65" s="5"/>
      <c r="J65" s="5"/>
      <c r="K65" s="5"/>
    </row>
    <row r="66" spans="2:11" ht="240" x14ac:dyDescent="0.25">
      <c r="B66" s="1046"/>
      <c r="C66" s="92"/>
      <c r="D66" s="45" t="s">
        <v>187</v>
      </c>
      <c r="E66" s="5"/>
      <c r="F66" s="5"/>
      <c r="G66" s="5"/>
      <c r="H66" s="5"/>
      <c r="I66" s="5"/>
      <c r="J66" s="5"/>
      <c r="K66" s="5"/>
    </row>
    <row r="67" spans="2:11" ht="48.75" thickBot="1" x14ac:dyDescent="0.3">
      <c r="B67" s="1047"/>
      <c r="C67" s="2"/>
      <c r="D67" s="40" t="s">
        <v>188</v>
      </c>
      <c r="E67" s="5"/>
      <c r="F67" s="5"/>
      <c r="G67" s="5"/>
      <c r="H67" s="5"/>
      <c r="I67" s="5"/>
      <c r="J67" s="5"/>
      <c r="K67" s="5"/>
    </row>
    <row r="68" spans="2:11" x14ac:dyDescent="0.25">
      <c r="B68" s="1045" t="s">
        <v>90</v>
      </c>
      <c r="C68" s="92"/>
      <c r="D68" s="45"/>
      <c r="E68" s="5"/>
      <c r="F68" s="5"/>
      <c r="G68" s="5"/>
      <c r="H68" s="5"/>
      <c r="I68" s="5"/>
      <c r="J68" s="5"/>
      <c r="K68" s="5"/>
    </row>
    <row r="69" spans="2:11" x14ac:dyDescent="0.25">
      <c r="B69" s="1046"/>
      <c r="C69" s="92"/>
      <c r="D69" s="16"/>
      <c r="E69" s="5"/>
      <c r="F69" s="5"/>
      <c r="G69" s="5"/>
      <c r="H69" s="5"/>
      <c r="I69" s="5"/>
      <c r="J69" s="5"/>
      <c r="K69" s="5"/>
    </row>
    <row r="70" spans="2:11" x14ac:dyDescent="0.25">
      <c r="B70" s="1046"/>
      <c r="C70" s="92"/>
      <c r="D70" s="45" t="s">
        <v>91</v>
      </c>
      <c r="E70" s="5"/>
      <c r="F70" s="5"/>
      <c r="G70" s="5"/>
      <c r="H70" s="5"/>
      <c r="I70" s="5"/>
      <c r="J70" s="5"/>
      <c r="K70" s="5"/>
    </row>
    <row r="71" spans="2:11" ht="37.5" x14ac:dyDescent="0.25">
      <c r="B71" s="1046"/>
      <c r="C71" s="92"/>
      <c r="D71" s="45" t="s">
        <v>189</v>
      </c>
      <c r="E71" s="5"/>
      <c r="F71" s="5"/>
      <c r="G71" s="5"/>
      <c r="H71" s="5"/>
      <c r="I71" s="5"/>
      <c r="J71" s="5"/>
      <c r="K71" s="5"/>
    </row>
    <row r="72" spans="2:11" ht="37.5" x14ac:dyDescent="0.25">
      <c r="B72" s="1046"/>
      <c r="C72" s="92"/>
      <c r="D72" s="45" t="s">
        <v>190</v>
      </c>
      <c r="E72" s="5"/>
      <c r="F72" s="5"/>
      <c r="G72" s="5"/>
      <c r="H72" s="5"/>
      <c r="I72" s="5"/>
      <c r="J72" s="5"/>
      <c r="K72" s="5"/>
    </row>
    <row r="73" spans="2:11" ht="37.5" x14ac:dyDescent="0.25">
      <c r="B73" s="1046"/>
      <c r="C73" s="92"/>
      <c r="D73" s="45" t="s">
        <v>191</v>
      </c>
      <c r="E73" s="5"/>
      <c r="F73" s="5"/>
      <c r="G73" s="5"/>
      <c r="H73" s="5"/>
      <c r="I73" s="5"/>
      <c r="J73" s="5"/>
      <c r="K73" s="5"/>
    </row>
    <row r="74" spans="2:11" ht="48.75" thickBot="1" x14ac:dyDescent="0.3">
      <c r="B74" s="1047"/>
      <c r="C74" s="2"/>
      <c r="D74" s="40" t="s">
        <v>192</v>
      </c>
      <c r="E74" s="5"/>
      <c r="F74" s="5"/>
      <c r="G74" s="5"/>
      <c r="H74" s="5"/>
      <c r="I74" s="5"/>
      <c r="J74" s="5"/>
      <c r="K74" s="5"/>
    </row>
    <row r="75" spans="2:11" x14ac:dyDescent="0.25">
      <c r="B75" s="5"/>
      <c r="D75" s="5"/>
      <c r="E75" s="5"/>
      <c r="F75" s="5"/>
      <c r="G75" s="5"/>
      <c r="H75" s="5"/>
      <c r="I75" s="5"/>
      <c r="J75" s="5"/>
      <c r="K75" s="5"/>
    </row>
  </sheetData>
  <mergeCells count="21">
    <mergeCell ref="B10:D10"/>
    <mergeCell ref="F10:S10"/>
    <mergeCell ref="F11:S11"/>
    <mergeCell ref="E12:R12"/>
    <mergeCell ref="E13:R13"/>
    <mergeCell ref="B56:B63"/>
    <mergeCell ref="B65:B67"/>
    <mergeCell ref="B68:B74"/>
    <mergeCell ref="B15:B23"/>
    <mergeCell ref="D15:J15"/>
    <mergeCell ref="D19:J19"/>
    <mergeCell ref="D24:J24"/>
    <mergeCell ref="D25:J25"/>
    <mergeCell ref="B28:B34"/>
    <mergeCell ref="B37:B43"/>
    <mergeCell ref="B50:E51"/>
    <mergeCell ref="A1:P1"/>
    <mergeCell ref="A2:P2"/>
    <mergeCell ref="A3:P3"/>
    <mergeCell ref="A4:D4"/>
    <mergeCell ref="A5:P5"/>
  </mergeCells>
  <conditionalFormatting sqref="F10">
    <cfRule type="notContainsBlanks" dxfId="116" priority="4">
      <formula>LEN(TRIM(F10))&gt;0</formula>
    </cfRule>
  </conditionalFormatting>
  <conditionalFormatting sqref="F11:S11">
    <cfRule type="expression" dxfId="115" priority="2">
      <formula>E11="NO SE REPORTA"</formula>
    </cfRule>
    <cfRule type="expression" dxfId="114" priority="3">
      <formula>E10="NO APLICA"</formula>
    </cfRule>
  </conditionalFormatting>
  <conditionalFormatting sqref="E12:R12">
    <cfRule type="expression" dxfId="113"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formula1>0</formula1>
    </dataValidation>
    <dataValidation allowBlank="1" showInputMessage="1" showErrorMessage="1" sqref="I21:I22"/>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32" r:id="rId1"/>
  </hyperlinks>
  <pageMargins left="0.25" right="0.25" top="0.75" bottom="0.75" header="0.3" footer="0.3"/>
  <pageSetup paperSize="178" orientation="landscape"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
  <sheetViews>
    <sheetView showGridLines="0" zoomScale="98" zoomScaleNormal="98" workbookViewId="0">
      <selection activeCell="L17" sqref="L17"/>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200</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INFORMACION",+G22))</f>
        <v>0.88785046728971961</v>
      </c>
      <c r="E8" s="210"/>
      <c r="F8" s="5" t="s">
        <v>130</v>
      </c>
      <c r="G8" s="5"/>
      <c r="H8" s="5"/>
      <c r="I8" s="5"/>
      <c r="J8" s="5"/>
      <c r="K8" s="5"/>
    </row>
    <row r="9" spans="1:21" x14ac:dyDescent="0.25">
      <c r="B9" s="363" t="s">
        <v>1193</v>
      </c>
      <c r="C9" s="86"/>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1905</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C14" s="86"/>
      <c r="D14" s="5"/>
      <c r="E14" s="5"/>
      <c r="F14" s="5"/>
      <c r="G14" s="5"/>
      <c r="H14" s="5"/>
      <c r="I14" s="5"/>
      <c r="J14" s="5"/>
      <c r="K14" s="5"/>
    </row>
    <row r="15" spans="1:21" ht="15.75" thickBot="1" x14ac:dyDescent="0.3">
      <c r="B15" s="1045" t="s">
        <v>2</v>
      </c>
      <c r="C15" s="87"/>
      <c r="D15" s="1036" t="s">
        <v>3</v>
      </c>
      <c r="E15" s="1037"/>
      <c r="F15" s="1037"/>
      <c r="G15" s="1037"/>
      <c r="H15" s="1037"/>
      <c r="I15" s="1037"/>
      <c r="J15" s="1038"/>
      <c r="K15" s="5"/>
    </row>
    <row r="16" spans="1:21" ht="48.75" thickBot="1" x14ac:dyDescent="0.3">
      <c r="B16" s="1046"/>
      <c r="C16" s="92"/>
      <c r="D16" s="42" t="s">
        <v>1460</v>
      </c>
      <c r="E16" s="204">
        <v>345</v>
      </c>
      <c r="F16" s="5"/>
      <c r="G16" s="5"/>
      <c r="H16" s="5"/>
      <c r="I16" s="5"/>
      <c r="J16" s="21"/>
      <c r="K16" s="5"/>
    </row>
    <row r="17" spans="2:11" ht="48.75" thickBot="1" x14ac:dyDescent="0.3">
      <c r="B17" s="1046"/>
      <c r="C17" s="92"/>
      <c r="D17" s="40" t="s">
        <v>214</v>
      </c>
      <c r="E17" s="204">
        <v>345</v>
      </c>
      <c r="F17" s="5"/>
      <c r="G17" s="5"/>
      <c r="H17" s="5"/>
      <c r="I17" s="5"/>
      <c r="J17" s="21"/>
      <c r="K17" s="5"/>
    </row>
    <row r="18" spans="2:11" ht="15.75" thickBot="1" x14ac:dyDescent="0.3">
      <c r="B18" s="1046"/>
      <c r="C18" s="90"/>
      <c r="D18" s="1051"/>
      <c r="E18" s="1052"/>
      <c r="F18" s="1052"/>
      <c r="G18" s="1052"/>
      <c r="H18" s="1052"/>
      <c r="I18" s="1052"/>
      <c r="J18" s="1053"/>
      <c r="K18" s="5"/>
    </row>
    <row r="19" spans="2:11" ht="15.75" thickBot="1" x14ac:dyDescent="0.3">
      <c r="B19" s="1046"/>
      <c r="C19" s="96" t="s">
        <v>19</v>
      </c>
      <c r="D19" s="42" t="s">
        <v>150</v>
      </c>
      <c r="E19" s="88" t="s">
        <v>20</v>
      </c>
      <c r="F19" s="88" t="s">
        <v>21</v>
      </c>
      <c r="G19" s="88" t="s">
        <v>22</v>
      </c>
      <c r="H19" s="88" t="s">
        <v>23</v>
      </c>
      <c r="I19" s="218" t="s">
        <v>55</v>
      </c>
      <c r="J19" s="109"/>
      <c r="K19" s="5"/>
    </row>
    <row r="20" spans="2:11" ht="36.75" thickBot="1" x14ac:dyDescent="0.3">
      <c r="B20" s="1046"/>
      <c r="C20" s="2" t="s">
        <v>152</v>
      </c>
      <c r="D20" s="40" t="s">
        <v>215</v>
      </c>
      <c r="E20" s="204">
        <v>345</v>
      </c>
      <c r="F20" s="204">
        <v>400</v>
      </c>
      <c r="G20" s="204">
        <v>428</v>
      </c>
      <c r="H20" s="204"/>
      <c r="I20" s="30"/>
      <c r="J20" s="110"/>
      <c r="K20" s="5"/>
    </row>
    <row r="21" spans="2:11" ht="36.75" thickBot="1" x14ac:dyDescent="0.3">
      <c r="B21" s="1046"/>
      <c r="C21" s="2" t="s">
        <v>154</v>
      </c>
      <c r="D21" s="40" t="s">
        <v>216</v>
      </c>
      <c r="E21" s="204">
        <v>205</v>
      </c>
      <c r="F21" s="204">
        <v>80</v>
      </c>
      <c r="G21" s="204">
        <v>380</v>
      </c>
      <c r="H21" s="204"/>
      <c r="I21" s="30"/>
      <c r="J21" s="110"/>
      <c r="K21" s="5"/>
    </row>
    <row r="22" spans="2:11" ht="36.75" thickBot="1" x14ac:dyDescent="0.3">
      <c r="B22" s="1047"/>
      <c r="C22" s="2" t="s">
        <v>156</v>
      </c>
      <c r="D22" s="40" t="s">
        <v>217</v>
      </c>
      <c r="E22" s="183">
        <f>IFERROR(E21/E20,"N.A.")</f>
        <v>0.59420289855072461</v>
      </c>
      <c r="F22" s="183">
        <f>IFERROR(F21/F20,"N.A.")</f>
        <v>0.2</v>
      </c>
      <c r="G22" s="183">
        <f>IFERROR(G21/G20,"N.A.")</f>
        <v>0.88785046728971961</v>
      </c>
      <c r="H22" s="183" t="str">
        <f>IFERROR(H21/H20,"N.A.")</f>
        <v>N.A.</v>
      </c>
      <c r="I22" s="362"/>
      <c r="J22" s="111"/>
      <c r="K22" s="5"/>
    </row>
    <row r="23" spans="2:11" ht="24" customHeight="1" thickBot="1" x14ac:dyDescent="0.3">
      <c r="B23" s="46" t="s">
        <v>34</v>
      </c>
      <c r="C23" s="91"/>
      <c r="D23" s="1048" t="s">
        <v>218</v>
      </c>
      <c r="E23" s="1049"/>
      <c r="F23" s="1049"/>
      <c r="G23" s="1049"/>
      <c r="H23" s="1049"/>
      <c r="I23" s="1049"/>
      <c r="J23" s="1050"/>
      <c r="K23" s="5"/>
    </row>
    <row r="24" spans="2:11" ht="24.75" thickBot="1" x14ac:dyDescent="0.3">
      <c r="B24" s="46" t="s">
        <v>36</v>
      </c>
      <c r="C24" s="91"/>
      <c r="D24" s="1048" t="s">
        <v>159</v>
      </c>
      <c r="E24" s="1049"/>
      <c r="F24" s="1049"/>
      <c r="G24" s="1049"/>
      <c r="H24" s="1049"/>
      <c r="I24" s="1049"/>
      <c r="J24" s="1050"/>
      <c r="K24" s="5"/>
    </row>
    <row r="25" spans="2:11" ht="15.75" thickBot="1" x14ac:dyDescent="0.3">
      <c r="B25" s="37"/>
      <c r="C25" s="86"/>
      <c r="D25" s="5"/>
      <c r="E25" s="5"/>
      <c r="F25" s="5"/>
      <c r="G25" s="5"/>
      <c r="H25" s="5"/>
      <c r="I25" s="5"/>
      <c r="J25" s="238"/>
      <c r="K25" s="5"/>
    </row>
    <row r="26" spans="2:11" ht="15" customHeight="1" thickBot="1" x14ac:dyDescent="0.3">
      <c r="B26" s="117" t="s">
        <v>38</v>
      </c>
      <c r="C26" s="121"/>
      <c r="D26" s="121"/>
      <c r="E26" s="121"/>
      <c r="F26" s="121"/>
      <c r="G26" s="121"/>
      <c r="H26" s="121"/>
      <c r="I26" s="121"/>
      <c r="J26" s="122"/>
      <c r="K26" s="5"/>
    </row>
    <row r="27" spans="2:11" ht="15.75" thickBot="1" x14ac:dyDescent="0.3">
      <c r="B27" s="1045">
        <v>1</v>
      </c>
      <c r="C27" s="87"/>
      <c r="D27" s="239" t="s">
        <v>39</v>
      </c>
      <c r="E27" s="30" t="s">
        <v>1771</v>
      </c>
      <c r="F27" s="30"/>
      <c r="I27" s="58"/>
      <c r="J27" s="240"/>
      <c r="K27" s="5"/>
    </row>
    <row r="28" spans="2:11" ht="15.75" thickBot="1" x14ac:dyDescent="0.3">
      <c r="B28" s="1046"/>
      <c r="C28" s="90"/>
      <c r="D28" s="241" t="s">
        <v>40</v>
      </c>
      <c r="E28" s="30" t="s">
        <v>1776</v>
      </c>
      <c r="F28" s="30"/>
      <c r="I28" s="58"/>
      <c r="J28" s="21"/>
      <c r="K28" s="5"/>
    </row>
    <row r="29" spans="2:11" ht="15.75" thickBot="1" x14ac:dyDescent="0.3">
      <c r="B29" s="1046"/>
      <c r="C29" s="90"/>
      <c r="D29" s="241" t="s">
        <v>41</v>
      </c>
      <c r="E29" s="30" t="s">
        <v>1777</v>
      </c>
      <c r="F29" s="30"/>
      <c r="I29" s="58"/>
      <c r="J29" s="21"/>
      <c r="K29" s="5"/>
    </row>
    <row r="30" spans="2:11" ht="15.75" thickBot="1" x14ac:dyDescent="0.3">
      <c r="B30" s="1046"/>
      <c r="C30" s="90"/>
      <c r="D30" s="241" t="s">
        <v>42</v>
      </c>
      <c r="E30" s="30" t="s">
        <v>1778</v>
      </c>
      <c r="F30" s="30"/>
      <c r="I30" s="58"/>
      <c r="J30" s="21"/>
      <c r="K30" s="5"/>
    </row>
    <row r="31" spans="2:11" ht="15.75" thickBot="1" x14ac:dyDescent="0.3">
      <c r="B31" s="1046"/>
      <c r="C31" s="90"/>
      <c r="D31" s="241" t="s">
        <v>43</v>
      </c>
      <c r="E31" s="515" t="s">
        <v>1779</v>
      </c>
      <c r="F31" s="515"/>
      <c r="I31" s="58"/>
      <c r="J31" s="21"/>
      <c r="K31" s="5"/>
    </row>
    <row r="32" spans="2:11" ht="15.75" thickBot="1" x14ac:dyDescent="0.3">
      <c r="B32" s="1046"/>
      <c r="C32" s="90"/>
      <c r="D32" s="241" t="s">
        <v>44</v>
      </c>
      <c r="E32" s="30">
        <v>4380200</v>
      </c>
      <c r="F32" s="30"/>
      <c r="I32" s="58"/>
      <c r="J32" s="21"/>
      <c r="K32" s="5"/>
    </row>
    <row r="33" spans="2:11" ht="15.75" thickBot="1" x14ac:dyDescent="0.3">
      <c r="B33" s="1047"/>
      <c r="C33" s="91"/>
      <c r="D33" s="241" t="s">
        <v>45</v>
      </c>
      <c r="E33" s="30" t="s">
        <v>1773</v>
      </c>
      <c r="F33" s="30"/>
      <c r="I33" s="242"/>
      <c r="J33" s="23"/>
      <c r="K33" s="5"/>
    </row>
    <row r="34" spans="2:11" ht="15" customHeight="1" thickBot="1" x14ac:dyDescent="0.3">
      <c r="B34" s="117" t="s">
        <v>46</v>
      </c>
      <c r="C34" s="118"/>
      <c r="D34" s="118"/>
      <c r="E34" s="118"/>
      <c r="F34" s="118"/>
      <c r="G34" s="118"/>
      <c r="H34" s="118"/>
      <c r="I34" s="121"/>
      <c r="J34" s="122"/>
      <c r="K34" s="5"/>
    </row>
    <row r="35" spans="2:11" ht="14.45" customHeight="1" thickBot="1" x14ac:dyDescent="0.3">
      <c r="B35" s="1045">
        <v>1</v>
      </c>
      <c r="C35" s="87"/>
      <c r="D35" s="243" t="s">
        <v>39</v>
      </c>
      <c r="E35" s="217" t="s">
        <v>47</v>
      </c>
      <c r="F35" s="218"/>
      <c r="I35" s="58"/>
      <c r="J35" s="240"/>
      <c r="K35" s="5"/>
    </row>
    <row r="36" spans="2:11" ht="15.75" thickBot="1" x14ac:dyDescent="0.3">
      <c r="B36" s="1046"/>
      <c r="C36" s="90"/>
      <c r="D36" s="124" t="s">
        <v>40</v>
      </c>
      <c r="E36" s="217" t="s">
        <v>160</v>
      </c>
      <c r="F36" s="217"/>
      <c r="I36" s="58"/>
      <c r="J36" s="21"/>
      <c r="K36" s="5"/>
    </row>
    <row r="37" spans="2:11" ht="15.75" thickBot="1" x14ac:dyDescent="0.3">
      <c r="B37" s="1046"/>
      <c r="C37" s="90"/>
      <c r="D37" s="124" t="s">
        <v>41</v>
      </c>
      <c r="E37" s="1083"/>
      <c r="F37" s="1084"/>
      <c r="I37" s="58"/>
      <c r="J37" s="21"/>
      <c r="K37" s="5"/>
    </row>
    <row r="38" spans="2:11" ht="15.75" thickBot="1" x14ac:dyDescent="0.3">
      <c r="B38" s="1046"/>
      <c r="C38" s="90"/>
      <c r="D38" s="124" t="s">
        <v>42</v>
      </c>
      <c r="E38" s="1083"/>
      <c r="F38" s="1084"/>
      <c r="I38" s="58"/>
      <c r="J38" s="21"/>
      <c r="K38" s="5"/>
    </row>
    <row r="39" spans="2:11" ht="15.75" thickBot="1" x14ac:dyDescent="0.3">
      <c r="B39" s="1046"/>
      <c r="C39" s="90"/>
      <c r="D39" s="124" t="s">
        <v>43</v>
      </c>
      <c r="E39" s="1083"/>
      <c r="F39" s="1084"/>
      <c r="I39" s="58"/>
      <c r="J39" s="21"/>
      <c r="K39" s="5"/>
    </row>
    <row r="40" spans="2:11" ht="15.75" thickBot="1" x14ac:dyDescent="0.3">
      <c r="B40" s="1046"/>
      <c r="C40" s="90"/>
      <c r="D40" s="124" t="s">
        <v>44</v>
      </c>
      <c r="E40" s="1083"/>
      <c r="F40" s="1084"/>
      <c r="I40" s="58"/>
      <c r="J40" s="21"/>
      <c r="K40" s="5"/>
    </row>
    <row r="41" spans="2:11" ht="15.75" thickBot="1" x14ac:dyDescent="0.3">
      <c r="B41" s="1047"/>
      <c r="C41" s="91"/>
      <c r="D41" s="124" t="s">
        <v>45</v>
      </c>
      <c r="E41" s="1083"/>
      <c r="F41" s="1084"/>
      <c r="I41" s="242"/>
      <c r="J41" s="23"/>
      <c r="K41" s="5"/>
    </row>
    <row r="42" spans="2:11" ht="15.75" thickBot="1" x14ac:dyDescent="0.3">
      <c r="B42" s="244"/>
      <c r="C42" s="245"/>
      <c r="D42" s="246"/>
      <c r="E42" s="246"/>
      <c r="F42" s="246"/>
      <c r="G42" s="121"/>
      <c r="H42" s="121"/>
      <c r="I42" s="121"/>
      <c r="J42" s="122"/>
      <c r="K42" s="5"/>
    </row>
    <row r="43" spans="2:11" ht="15.75" thickBot="1" x14ac:dyDescent="0.3">
      <c r="B43" s="1054" t="s">
        <v>49</v>
      </c>
      <c r="C43" s="1055"/>
      <c r="D43" s="1055"/>
      <c r="E43" s="1055"/>
      <c r="F43" s="1055"/>
      <c r="G43" s="1055"/>
      <c r="H43" s="1055"/>
      <c r="I43" s="1056"/>
      <c r="J43" s="122"/>
      <c r="K43" s="5"/>
    </row>
    <row r="44" spans="2:11" ht="24" customHeight="1" thickBot="1" x14ac:dyDescent="0.3">
      <c r="B44" s="1048" t="s">
        <v>50</v>
      </c>
      <c r="C44" s="1049"/>
      <c r="D44" s="1050"/>
      <c r="E44" s="40" t="s">
        <v>51</v>
      </c>
      <c r="F44" s="1048" t="s">
        <v>52</v>
      </c>
      <c r="G44" s="1050"/>
      <c r="H44" s="1048" t="s">
        <v>53</v>
      </c>
      <c r="I44" s="1050"/>
      <c r="J44" s="112"/>
      <c r="K44" s="5"/>
    </row>
    <row r="45" spans="2:11" ht="108" customHeight="1" thickBot="1" x14ac:dyDescent="0.3">
      <c r="B45" s="1087">
        <v>42401</v>
      </c>
      <c r="C45" s="1088"/>
      <c r="D45" s="1089"/>
      <c r="E45" s="40">
        <v>0.01</v>
      </c>
      <c r="F45" s="1081" t="s">
        <v>219</v>
      </c>
      <c r="G45" s="1082"/>
      <c r="H45" s="1048"/>
      <c r="I45" s="1050"/>
      <c r="J45" s="114"/>
      <c r="K45" s="5"/>
    </row>
    <row r="46" spans="2:11" x14ac:dyDescent="0.25">
      <c r="B46" s="247"/>
      <c r="C46" s="248"/>
      <c r="D46" s="247"/>
      <c r="E46" s="247"/>
      <c r="F46" s="247"/>
      <c r="G46" s="247"/>
      <c r="H46" s="247"/>
      <c r="I46" s="247"/>
      <c r="J46" s="5"/>
      <c r="K46" s="5"/>
    </row>
    <row r="47" spans="2:11" ht="15.75" thickBot="1" x14ac:dyDescent="0.3">
      <c r="B47" s="1"/>
      <c r="C47" s="74"/>
      <c r="D47" s="5"/>
      <c r="E47" s="5"/>
      <c r="F47" s="5"/>
      <c r="G47" s="5"/>
      <c r="H47" s="5"/>
      <c r="I47" s="5"/>
      <c r="J47" s="5"/>
      <c r="K47" s="5"/>
    </row>
    <row r="48" spans="2:11" ht="15.75" thickBot="1" x14ac:dyDescent="0.3">
      <c r="B48" s="4" t="s">
        <v>55</v>
      </c>
      <c r="C48" s="94"/>
      <c r="D48" s="5"/>
      <c r="E48" s="5"/>
      <c r="F48" s="5"/>
      <c r="G48" s="5"/>
      <c r="H48" s="5"/>
      <c r="I48" s="5"/>
      <c r="J48" s="5"/>
      <c r="K48" s="5"/>
    </row>
    <row r="49" spans="2:11" x14ac:dyDescent="0.25">
      <c r="B49" s="1085"/>
      <c r="C49" s="1086"/>
      <c r="D49" s="1086"/>
      <c r="E49" s="1086"/>
      <c r="F49" s="1086"/>
      <c r="G49" s="1086"/>
      <c r="H49" s="1086"/>
      <c r="I49" s="1086"/>
      <c r="J49" s="1086"/>
      <c r="K49" s="5"/>
    </row>
    <row r="50" spans="2:11" x14ac:dyDescent="0.25">
      <c r="B50" s="1085"/>
      <c r="C50" s="1086"/>
      <c r="D50" s="1086"/>
      <c r="E50" s="1086"/>
      <c r="F50" s="1086"/>
      <c r="G50" s="1086"/>
      <c r="H50" s="1086"/>
      <c r="I50" s="1086"/>
      <c r="J50" s="1086"/>
      <c r="K50" s="5"/>
    </row>
    <row r="51" spans="2:11" x14ac:dyDescent="0.25">
      <c r="B51" s="1"/>
      <c r="C51" s="74"/>
      <c r="D51" s="5"/>
      <c r="E51" s="5"/>
      <c r="F51" s="5"/>
      <c r="G51" s="5"/>
      <c r="H51" s="5"/>
      <c r="I51" s="5"/>
      <c r="J51" s="5"/>
      <c r="K51" s="5"/>
    </row>
    <row r="52" spans="2:11" ht="15.75" thickBot="1" x14ac:dyDescent="0.3">
      <c r="B52" s="5"/>
      <c r="D52" s="5"/>
      <c r="E52" s="5"/>
      <c r="F52" s="5"/>
      <c r="G52" s="5"/>
      <c r="H52" s="5"/>
      <c r="I52" s="5"/>
      <c r="J52" s="5"/>
      <c r="K52" s="5"/>
    </row>
    <row r="53" spans="2:11" ht="24.75" thickBot="1" x14ac:dyDescent="0.3">
      <c r="B53" s="50" t="s">
        <v>56</v>
      </c>
      <c r="C53" s="95"/>
      <c r="D53" s="5"/>
      <c r="E53" s="5"/>
      <c r="F53" s="5"/>
      <c r="G53" s="5"/>
      <c r="H53" s="5"/>
      <c r="I53" s="5"/>
      <c r="J53" s="5"/>
      <c r="K53" s="5"/>
    </row>
    <row r="54" spans="2:11" ht="15.75" thickBot="1" x14ac:dyDescent="0.3">
      <c r="B54" s="1"/>
      <c r="C54" s="74"/>
      <c r="D54" s="5"/>
      <c r="E54" s="5"/>
      <c r="F54" s="5"/>
      <c r="G54" s="5"/>
      <c r="H54" s="5"/>
      <c r="I54" s="5"/>
      <c r="J54" s="5"/>
      <c r="K54" s="5"/>
    </row>
    <row r="55" spans="2:11" ht="72.75" thickBot="1" x14ac:dyDescent="0.3">
      <c r="B55" s="51" t="s">
        <v>57</v>
      </c>
      <c r="C55" s="96"/>
      <c r="D55" s="42" t="s">
        <v>201</v>
      </c>
      <c r="E55" s="5"/>
      <c r="F55" s="5"/>
      <c r="G55" s="5"/>
      <c r="H55" s="5"/>
      <c r="I55" s="5"/>
      <c r="J55" s="5"/>
      <c r="K55" s="5"/>
    </row>
    <row r="56" spans="2:11" x14ac:dyDescent="0.25">
      <c r="B56" s="1045" t="s">
        <v>59</v>
      </c>
      <c r="C56" s="92"/>
      <c r="D56" s="52" t="s">
        <v>60</v>
      </c>
      <c r="E56" s="5"/>
      <c r="F56" s="5"/>
      <c r="G56" s="5"/>
      <c r="H56" s="5"/>
      <c r="I56" s="5"/>
      <c r="J56" s="5"/>
      <c r="K56" s="5"/>
    </row>
    <row r="57" spans="2:11" ht="60" x14ac:dyDescent="0.25">
      <c r="B57" s="1046"/>
      <c r="C57" s="92"/>
      <c r="D57" s="45" t="s">
        <v>202</v>
      </c>
      <c r="E57" s="5"/>
      <c r="F57" s="5"/>
      <c r="G57" s="5"/>
      <c r="H57" s="5"/>
      <c r="I57" s="5"/>
      <c r="J57" s="5"/>
      <c r="K57" s="5"/>
    </row>
    <row r="58" spans="2:11" x14ac:dyDescent="0.25">
      <c r="B58" s="1046"/>
      <c r="C58" s="92"/>
      <c r="D58" s="52" t="s">
        <v>134</v>
      </c>
      <c r="E58" s="5"/>
      <c r="F58" s="5"/>
      <c r="G58" s="5"/>
      <c r="H58" s="5"/>
      <c r="I58" s="5"/>
      <c r="J58" s="5"/>
      <c r="K58" s="5"/>
    </row>
    <row r="59" spans="2:11" x14ac:dyDescent="0.25">
      <c r="B59" s="1046"/>
      <c r="C59" s="92"/>
      <c r="D59" s="45" t="s">
        <v>64</v>
      </c>
      <c r="E59" s="5"/>
      <c r="F59" s="5"/>
      <c r="G59" s="5"/>
      <c r="H59" s="5"/>
      <c r="I59" s="5"/>
      <c r="J59" s="5"/>
      <c r="K59" s="5"/>
    </row>
    <row r="60" spans="2:11" x14ac:dyDescent="0.25">
      <c r="B60" s="1046"/>
      <c r="C60" s="92"/>
      <c r="D60" s="45" t="s">
        <v>165</v>
      </c>
      <c r="E60" s="5"/>
      <c r="F60" s="5"/>
      <c r="G60" s="5"/>
      <c r="H60" s="5"/>
      <c r="I60" s="5"/>
      <c r="J60" s="5"/>
      <c r="K60" s="5"/>
    </row>
    <row r="61" spans="2:11" x14ac:dyDescent="0.25">
      <c r="B61" s="1046"/>
      <c r="C61" s="92"/>
      <c r="D61" s="45" t="s">
        <v>203</v>
      </c>
      <c r="E61" s="5"/>
      <c r="F61" s="5"/>
      <c r="G61" s="5"/>
      <c r="H61" s="5"/>
      <c r="I61" s="5"/>
      <c r="J61" s="5"/>
      <c r="K61" s="5"/>
    </row>
    <row r="62" spans="2:11" x14ac:dyDescent="0.25">
      <c r="B62" s="1046"/>
      <c r="C62" s="92"/>
      <c r="D62" s="45" t="s">
        <v>204</v>
      </c>
      <c r="E62" s="5"/>
      <c r="F62" s="5"/>
      <c r="G62" s="5"/>
      <c r="H62" s="5"/>
      <c r="I62" s="5"/>
      <c r="J62" s="5"/>
      <c r="K62" s="5"/>
    </row>
    <row r="63" spans="2:11" ht="24" x14ac:dyDescent="0.25">
      <c r="B63" s="1046"/>
      <c r="C63" s="92"/>
      <c r="D63" s="45" t="s">
        <v>205</v>
      </c>
      <c r="E63" s="5"/>
      <c r="F63" s="5"/>
      <c r="G63" s="5"/>
      <c r="H63" s="5"/>
      <c r="I63" s="5"/>
      <c r="J63" s="5"/>
      <c r="K63" s="5"/>
    </row>
    <row r="64" spans="2:11" x14ac:dyDescent="0.25">
      <c r="B64" s="1046"/>
      <c r="C64" s="92"/>
      <c r="D64" s="52" t="s">
        <v>141</v>
      </c>
      <c r="E64" s="5"/>
      <c r="F64" s="5"/>
      <c r="G64" s="5"/>
      <c r="H64" s="5"/>
      <c r="I64" s="5"/>
      <c r="J64" s="5"/>
      <c r="K64" s="5"/>
    </row>
    <row r="65" spans="2:11" ht="15.75" thickBot="1" x14ac:dyDescent="0.3">
      <c r="B65" s="1047"/>
      <c r="C65" s="2"/>
      <c r="D65" s="67"/>
      <c r="E65" s="5"/>
      <c r="F65" s="5"/>
      <c r="G65" s="5"/>
      <c r="H65" s="5"/>
      <c r="I65" s="5"/>
      <c r="J65" s="5"/>
      <c r="K65" s="5"/>
    </row>
    <row r="66" spans="2:11" ht="24.75" thickBot="1" x14ac:dyDescent="0.3">
      <c r="B66" s="46" t="s">
        <v>72</v>
      </c>
      <c r="C66" s="2"/>
      <c r="D66" s="40"/>
      <c r="E66" s="5"/>
      <c r="F66" s="5"/>
      <c r="G66" s="5"/>
      <c r="H66" s="5"/>
      <c r="I66" s="5"/>
      <c r="J66" s="5"/>
      <c r="K66" s="5"/>
    </row>
    <row r="67" spans="2:11" ht="156" x14ac:dyDescent="0.25">
      <c r="B67" s="1045" t="s">
        <v>73</v>
      </c>
      <c r="C67" s="92"/>
      <c r="D67" s="45" t="s">
        <v>206</v>
      </c>
      <c r="E67" s="5"/>
      <c r="F67" s="5"/>
      <c r="G67" s="5"/>
      <c r="H67" s="5"/>
      <c r="I67" s="5"/>
      <c r="J67" s="5"/>
      <c r="K67" s="5"/>
    </row>
    <row r="68" spans="2:11" ht="132" x14ac:dyDescent="0.25">
      <c r="B68" s="1046"/>
      <c r="C68" s="92"/>
      <c r="D68" s="45" t="s">
        <v>207</v>
      </c>
      <c r="E68" s="5"/>
      <c r="F68" s="5"/>
      <c r="G68" s="5"/>
      <c r="H68" s="5"/>
      <c r="I68" s="5"/>
      <c r="J68" s="5"/>
      <c r="K68" s="5"/>
    </row>
    <row r="69" spans="2:11" ht="216" x14ac:dyDescent="0.25">
      <c r="B69" s="1046"/>
      <c r="C69" s="92"/>
      <c r="D69" s="45" t="s">
        <v>208</v>
      </c>
      <c r="E69" s="5"/>
      <c r="F69" s="5"/>
      <c r="G69" s="5"/>
      <c r="H69" s="5"/>
      <c r="I69" s="5"/>
      <c r="J69" s="5"/>
      <c r="K69" s="5"/>
    </row>
    <row r="70" spans="2:11" ht="72" x14ac:dyDescent="0.25">
      <c r="B70" s="1046"/>
      <c r="C70" s="92"/>
      <c r="D70" s="45" t="s">
        <v>209</v>
      </c>
      <c r="E70" s="5"/>
      <c r="F70" s="5"/>
      <c r="G70" s="5"/>
      <c r="H70" s="5"/>
      <c r="I70" s="5"/>
      <c r="J70" s="5"/>
      <c r="K70" s="5"/>
    </row>
    <row r="71" spans="2:11" ht="15.75" thickBot="1" x14ac:dyDescent="0.3">
      <c r="B71" s="1047"/>
      <c r="C71" s="2"/>
      <c r="D71" s="40"/>
      <c r="E71" s="5"/>
      <c r="F71" s="5"/>
      <c r="G71" s="5"/>
      <c r="H71" s="5"/>
      <c r="I71" s="5"/>
      <c r="J71" s="5"/>
      <c r="K71" s="5"/>
    </row>
    <row r="72" spans="2:11" x14ac:dyDescent="0.25">
      <c r="B72" s="1045" t="s">
        <v>90</v>
      </c>
      <c r="C72" s="92"/>
      <c r="D72" s="45"/>
      <c r="E72" s="5"/>
      <c r="F72" s="5"/>
      <c r="G72" s="5"/>
      <c r="H72" s="5"/>
      <c r="I72" s="5"/>
      <c r="J72" s="5"/>
      <c r="K72" s="5"/>
    </row>
    <row r="73" spans="2:11" x14ac:dyDescent="0.25">
      <c r="B73" s="1046"/>
      <c r="C73" s="92"/>
      <c r="D73" s="16"/>
      <c r="E73" s="5"/>
      <c r="F73" s="5"/>
      <c r="G73" s="5"/>
      <c r="H73" s="5"/>
      <c r="I73" s="5"/>
      <c r="J73" s="5"/>
      <c r="K73" s="5"/>
    </row>
    <row r="74" spans="2:11" x14ac:dyDescent="0.25">
      <c r="B74" s="1046"/>
      <c r="C74" s="92"/>
      <c r="D74" s="45" t="s">
        <v>91</v>
      </c>
      <c r="E74" s="5"/>
      <c r="F74" s="5"/>
      <c r="G74" s="5"/>
      <c r="H74" s="5"/>
      <c r="I74" s="5"/>
      <c r="J74" s="5"/>
      <c r="K74" s="5"/>
    </row>
    <row r="75" spans="2:11" ht="37.5" x14ac:dyDescent="0.25">
      <c r="B75" s="1046"/>
      <c r="C75" s="92"/>
      <c r="D75" s="45" t="s">
        <v>210</v>
      </c>
      <c r="E75" s="5"/>
      <c r="F75" s="5"/>
      <c r="G75" s="5"/>
      <c r="H75" s="5"/>
      <c r="I75" s="5"/>
      <c r="J75" s="5"/>
      <c r="K75" s="5"/>
    </row>
    <row r="76" spans="2:11" ht="37.5" x14ac:dyDescent="0.25">
      <c r="B76" s="1046"/>
      <c r="C76" s="92"/>
      <c r="D76" s="45" t="s">
        <v>211</v>
      </c>
      <c r="E76" s="5"/>
      <c r="F76" s="5"/>
      <c r="G76" s="5"/>
      <c r="H76" s="5"/>
      <c r="I76" s="5"/>
      <c r="J76" s="5"/>
      <c r="K76" s="5"/>
    </row>
    <row r="77" spans="2:11" ht="37.5" x14ac:dyDescent="0.25">
      <c r="B77" s="1046"/>
      <c r="C77" s="92"/>
      <c r="D77" s="45" t="s">
        <v>212</v>
      </c>
      <c r="E77" s="5"/>
      <c r="F77" s="5"/>
      <c r="G77" s="5"/>
      <c r="H77" s="5"/>
      <c r="I77" s="5"/>
      <c r="J77" s="5"/>
      <c r="K77" s="5"/>
    </row>
    <row r="78" spans="2:11" ht="48.75" thickBot="1" x14ac:dyDescent="0.3">
      <c r="B78" s="1047"/>
      <c r="C78" s="2"/>
      <c r="D78" s="40" t="s">
        <v>213</v>
      </c>
      <c r="E78" s="5"/>
      <c r="F78" s="5"/>
      <c r="G78" s="5"/>
      <c r="H78" s="5"/>
      <c r="I78" s="5"/>
      <c r="J78" s="5"/>
      <c r="K78" s="5"/>
    </row>
  </sheetData>
  <sheetProtection insertColumns="0" insertRows="0"/>
  <mergeCells count="33">
    <mergeCell ref="B10:D10"/>
    <mergeCell ref="F10:S10"/>
    <mergeCell ref="F11:S11"/>
    <mergeCell ref="E12:R12"/>
    <mergeCell ref="E13:R13"/>
    <mergeCell ref="B56:B65"/>
    <mergeCell ref="B67:B71"/>
    <mergeCell ref="B72:B78"/>
    <mergeCell ref="B15:B22"/>
    <mergeCell ref="D15:J15"/>
    <mergeCell ref="D18:J18"/>
    <mergeCell ref="D23:J23"/>
    <mergeCell ref="D24:J24"/>
    <mergeCell ref="E38:F38"/>
    <mergeCell ref="E39:F39"/>
    <mergeCell ref="E40:F40"/>
    <mergeCell ref="B35:B41"/>
    <mergeCell ref="E37:F37"/>
    <mergeCell ref="B27:B33"/>
    <mergeCell ref="B49:J50"/>
    <mergeCell ref="B45:D45"/>
    <mergeCell ref="F45:G45"/>
    <mergeCell ref="H45:I45"/>
    <mergeCell ref="E41:F41"/>
    <mergeCell ref="B43:I43"/>
    <mergeCell ref="B44:D44"/>
    <mergeCell ref="F44:G44"/>
    <mergeCell ref="H44:I44"/>
    <mergeCell ref="A1:P1"/>
    <mergeCell ref="A2:P2"/>
    <mergeCell ref="A3:P3"/>
    <mergeCell ref="A4:D4"/>
    <mergeCell ref="A5:P5"/>
  </mergeCells>
  <conditionalFormatting sqref="F10">
    <cfRule type="notContainsBlanks" dxfId="112" priority="5">
      <formula>LEN(TRIM(F10))&gt;0</formula>
    </cfRule>
  </conditionalFormatting>
  <conditionalFormatting sqref="F11:S11">
    <cfRule type="expression" dxfId="111" priority="3">
      <formula>E11="NO SE REPORTA"</formula>
    </cfRule>
    <cfRule type="expression" dxfId="110" priority="4">
      <formula>E10="NO APLICA"</formula>
    </cfRule>
  </conditionalFormatting>
  <conditionalFormatting sqref="E12:R12">
    <cfRule type="expression" dxfId="109"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31" r:id="rId1"/>
  </hyperlinks>
  <pageMargins left="0.25" right="0.25" top="0.75" bottom="0.75" header="0.3" footer="0.3"/>
  <pageSetup paperSize="178" orientation="landscape"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7"/>
  <sheetViews>
    <sheetView showGridLines="0" zoomScale="98" zoomScaleNormal="98" workbookViewId="0">
      <selection activeCell="K19" sqref="K19"/>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8" max="8" width="12.7109375" customWidth="1"/>
    <col min="10" max="10" width="13.28515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220</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INFORMACION",))+G27</f>
        <v>1</v>
      </c>
      <c r="E8" s="210"/>
      <c r="F8" s="5" t="s">
        <v>130</v>
      </c>
      <c r="G8" s="5"/>
      <c r="H8" s="5"/>
      <c r="I8" s="5"/>
      <c r="J8" s="5"/>
      <c r="K8" s="5"/>
    </row>
    <row r="9" spans="1:21" x14ac:dyDescent="0.25">
      <c r="B9" s="363" t="s">
        <v>1193</v>
      </c>
      <c r="C9" s="86"/>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1906</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C14" s="86"/>
      <c r="D14" s="5"/>
      <c r="E14" s="5"/>
      <c r="F14" s="5"/>
      <c r="G14" s="5"/>
      <c r="H14" s="5"/>
      <c r="I14" s="5"/>
      <c r="J14" s="5"/>
      <c r="K14" s="5"/>
    </row>
    <row r="15" spans="1:21" ht="15" customHeight="1" thickTop="1" x14ac:dyDescent="0.25">
      <c r="B15" s="1090" t="s">
        <v>2</v>
      </c>
      <c r="C15" s="87"/>
      <c r="D15" s="1036" t="s">
        <v>3</v>
      </c>
      <c r="E15" s="1037"/>
      <c r="F15" s="1037"/>
      <c r="G15" s="1037"/>
      <c r="H15" s="1037"/>
      <c r="I15" s="1037"/>
      <c r="J15" s="1037"/>
      <c r="K15" s="1038"/>
    </row>
    <row r="16" spans="1:21" ht="15.75" thickBot="1" x14ac:dyDescent="0.3">
      <c r="B16" s="1064"/>
      <c r="C16" s="90"/>
      <c r="D16" s="1039" t="s">
        <v>252</v>
      </c>
      <c r="E16" s="1040"/>
      <c r="F16" s="1040"/>
      <c r="G16" s="1040"/>
      <c r="H16" s="1040"/>
      <c r="I16" s="1040"/>
      <c r="J16" s="1040"/>
      <c r="K16" s="1041"/>
    </row>
    <row r="17" spans="2:11" ht="15.75" thickBot="1" x14ac:dyDescent="0.3">
      <c r="B17" s="1064"/>
      <c r="C17" s="96" t="s">
        <v>19</v>
      </c>
      <c r="D17" s="38" t="s">
        <v>253</v>
      </c>
      <c r="E17" s="38" t="s">
        <v>20</v>
      </c>
      <c r="F17" s="38" t="s">
        <v>21</v>
      </c>
      <c r="G17" s="38" t="s">
        <v>22</v>
      </c>
      <c r="H17" s="38" t="s">
        <v>23</v>
      </c>
      <c r="I17" s="218"/>
      <c r="K17" s="21"/>
    </row>
    <row r="18" spans="2:11" ht="15.75" thickBot="1" x14ac:dyDescent="0.3">
      <c r="B18" s="1064"/>
      <c r="C18" s="2" t="s">
        <v>152</v>
      </c>
      <c r="D18" s="39" t="s">
        <v>255</v>
      </c>
      <c r="E18" s="204">
        <v>4</v>
      </c>
      <c r="F18" s="204">
        <v>4</v>
      </c>
      <c r="G18" s="204">
        <v>4</v>
      </c>
      <c r="H18" s="204">
        <v>4</v>
      </c>
      <c r="I18" s="253"/>
      <c r="K18" s="21"/>
    </row>
    <row r="19" spans="2:11" ht="15.75" thickBot="1" x14ac:dyDescent="0.3">
      <c r="B19" s="1064"/>
      <c r="C19" s="2" t="s">
        <v>154</v>
      </c>
      <c r="D19" s="39" t="s">
        <v>256</v>
      </c>
      <c r="E19" s="204">
        <v>4</v>
      </c>
      <c r="F19" s="204">
        <v>4</v>
      </c>
      <c r="G19" s="204">
        <v>4</v>
      </c>
      <c r="H19" s="204"/>
      <c r="I19" s="253"/>
      <c r="K19" s="21"/>
    </row>
    <row r="20" spans="2:11" ht="15.75" thickBot="1" x14ac:dyDescent="0.3">
      <c r="B20" s="1064"/>
      <c r="C20" s="2" t="s">
        <v>156</v>
      </c>
      <c r="D20" s="39" t="s">
        <v>257</v>
      </c>
      <c r="E20" s="204"/>
      <c r="F20" s="204"/>
      <c r="G20" s="204"/>
      <c r="H20" s="204"/>
      <c r="I20" s="253"/>
      <c r="K20" s="21"/>
    </row>
    <row r="21" spans="2:11" ht="15.75" thickBot="1" x14ac:dyDescent="0.3">
      <c r="B21" s="1064"/>
      <c r="C21" s="2" t="s">
        <v>258</v>
      </c>
      <c r="D21" s="39" t="s">
        <v>259</v>
      </c>
      <c r="E21" s="204"/>
      <c r="F21" s="204"/>
      <c r="G21" s="204"/>
      <c r="H21" s="204"/>
      <c r="I21" s="253"/>
      <c r="K21" s="21"/>
    </row>
    <row r="22" spans="2:11" ht="15.75" thickBot="1" x14ac:dyDescent="0.3">
      <c r="B22" s="1064"/>
      <c r="C22" s="2" t="s">
        <v>260</v>
      </c>
      <c r="D22" s="39" t="s">
        <v>261</v>
      </c>
      <c r="E22" s="204"/>
      <c r="F22" s="204"/>
      <c r="G22" s="204"/>
      <c r="H22" s="204"/>
      <c r="I22" s="253"/>
      <c r="K22" s="21"/>
    </row>
    <row r="23" spans="2:11" ht="15.75" thickBot="1" x14ac:dyDescent="0.3">
      <c r="B23" s="1064"/>
      <c r="C23" s="2" t="s">
        <v>262</v>
      </c>
      <c r="D23" s="39" t="s">
        <v>263</v>
      </c>
      <c r="E23" s="204"/>
      <c r="F23" s="204"/>
      <c r="G23" s="204"/>
      <c r="H23" s="204"/>
      <c r="I23" s="253"/>
      <c r="K23" s="21"/>
    </row>
    <row r="24" spans="2:11" ht="15.75" thickBot="1" x14ac:dyDescent="0.3">
      <c r="B24" s="1064"/>
      <c r="C24" s="2" t="s">
        <v>264</v>
      </c>
      <c r="D24" s="39" t="s">
        <v>265</v>
      </c>
      <c r="E24" s="183">
        <f>IFERROR(E19/E18,"N.A.")</f>
        <v>1</v>
      </c>
      <c r="F24" s="183">
        <f>IFERROR(F19/F18,"N.A.")</f>
        <v>1</v>
      </c>
      <c r="G24" s="183">
        <f>IFERROR(G19/G18,"N.A.")</f>
        <v>1</v>
      </c>
      <c r="H24" s="183">
        <f>IFERROR(H19/H18,"N.A.")</f>
        <v>0</v>
      </c>
      <c r="I24" s="235"/>
      <c r="K24" s="21"/>
    </row>
    <row r="25" spans="2:11" ht="15.75" thickBot="1" x14ac:dyDescent="0.3">
      <c r="B25" s="1064"/>
      <c r="C25" s="2" t="s">
        <v>266</v>
      </c>
      <c r="D25" s="39" t="s">
        <v>267</v>
      </c>
      <c r="E25" s="183" t="str">
        <f>IFERROR(E21/E20,"N.A.")</f>
        <v>N.A.</v>
      </c>
      <c r="F25" s="183" t="str">
        <f>IFERROR(F21/F20,"N.A.")</f>
        <v>N.A.</v>
      </c>
      <c r="G25" s="183" t="str">
        <f>IFERROR(G21/G20,"N.A.")</f>
        <v>N.A.</v>
      </c>
      <c r="H25" s="183" t="str">
        <f>IFERROR(H21/H20,"N.A.")</f>
        <v>N.A.</v>
      </c>
      <c r="I25" s="235"/>
      <c r="K25" s="21"/>
    </row>
    <row r="26" spans="2:11" ht="15.75" thickBot="1" x14ac:dyDescent="0.3">
      <c r="B26" s="1064"/>
      <c r="C26" s="2" t="s">
        <v>268</v>
      </c>
      <c r="D26" s="39" t="s">
        <v>269</v>
      </c>
      <c r="E26" s="183" t="str">
        <f>IFERROR(E23/E22,"N.A.")</f>
        <v>N.A.</v>
      </c>
      <c r="F26" s="183" t="str">
        <f>IFERROR(F23/F22,"N.A.")</f>
        <v>N.A.</v>
      </c>
      <c r="G26" s="183" t="str">
        <f>IFERROR(G23/G22,"N.A.")</f>
        <v>N.A.</v>
      </c>
      <c r="H26" s="183" t="str">
        <f>IFERROR(H23/H22,"N.A.")</f>
        <v>N.A.</v>
      </c>
      <c r="I26" s="235"/>
      <c r="K26" s="21"/>
    </row>
    <row r="27" spans="2:11" ht="15.75" thickBot="1" x14ac:dyDescent="0.3">
      <c r="B27" s="250"/>
      <c r="C27" s="99"/>
      <c r="D27" s="251" t="s">
        <v>1205</v>
      </c>
      <c r="E27" s="183">
        <f>IFERROR(AVERAGE(E24:E26),"N.A.")</f>
        <v>1</v>
      </c>
      <c r="F27" s="183">
        <f>IFERROR(AVERAGE(F24:F26),"N.A.")</f>
        <v>1</v>
      </c>
      <c r="G27" s="183">
        <f>IFERROR(AVERAGE(G24:G26),"N.A.")</f>
        <v>1</v>
      </c>
      <c r="H27" s="183">
        <f>IFERROR(AVERAGE(H24:H26),"N.A.")</f>
        <v>0</v>
      </c>
      <c r="I27" s="235"/>
      <c r="K27" s="21"/>
    </row>
    <row r="28" spans="2:11" x14ac:dyDescent="0.25">
      <c r="B28" s="216"/>
      <c r="C28" s="90"/>
      <c r="D28" s="1027"/>
      <c r="E28" s="1028"/>
      <c r="F28" s="1028"/>
      <c r="G28" s="1028"/>
      <c r="H28" s="1028"/>
      <c r="I28" s="1028"/>
      <c r="J28" s="1028"/>
      <c r="K28" s="1029"/>
    </row>
    <row r="29" spans="2:11" x14ac:dyDescent="0.25">
      <c r="B29" s="216"/>
      <c r="C29" s="90"/>
      <c r="D29" s="1039" t="s">
        <v>246</v>
      </c>
      <c r="E29" s="1040"/>
      <c r="F29" s="1040"/>
      <c r="G29" s="1040"/>
      <c r="H29" s="1040"/>
      <c r="I29" s="1040"/>
      <c r="J29" s="1040"/>
      <c r="K29" s="1041"/>
    </row>
    <row r="30" spans="2:11" ht="15.75" thickBot="1" x14ac:dyDescent="0.3">
      <c r="B30" s="216"/>
      <c r="C30" s="90"/>
      <c r="D30" s="1030" t="s">
        <v>247</v>
      </c>
      <c r="E30" s="1031"/>
      <c r="F30" s="1031"/>
      <c r="G30" s="1031"/>
      <c r="H30" s="1031"/>
      <c r="I30" s="1031"/>
      <c r="J30" s="1031"/>
      <c r="K30" s="1032"/>
    </row>
    <row r="31" spans="2:11" ht="15.75" thickBot="1" x14ac:dyDescent="0.3">
      <c r="B31" s="216"/>
      <c r="C31" s="96" t="s">
        <v>19</v>
      </c>
      <c r="D31" s="42" t="s">
        <v>270</v>
      </c>
      <c r="E31" s="42" t="s">
        <v>271</v>
      </c>
      <c r="F31" s="42" t="s">
        <v>272</v>
      </c>
      <c r="G31" s="42" t="s">
        <v>273</v>
      </c>
      <c r="H31" s="42" t="s">
        <v>274</v>
      </c>
      <c r="I31" s="42" t="s">
        <v>275</v>
      </c>
      <c r="J31" s="42" t="s">
        <v>55</v>
      </c>
      <c r="K31" s="112"/>
    </row>
    <row r="32" spans="2:11" s="186" customFormat="1" ht="39.4" customHeight="1" thickBot="1" x14ac:dyDescent="0.3">
      <c r="B32" s="215"/>
      <c r="C32" s="8">
        <v>1</v>
      </c>
      <c r="D32" s="29" t="s">
        <v>2044</v>
      </c>
      <c r="E32" s="158" t="s">
        <v>11</v>
      </c>
      <c r="F32" s="205">
        <v>700400000</v>
      </c>
      <c r="G32" s="205">
        <v>700400000</v>
      </c>
      <c r="H32" s="205">
        <v>700400000</v>
      </c>
      <c r="I32" s="205">
        <v>490280000</v>
      </c>
      <c r="J32" s="29" t="s">
        <v>2045</v>
      </c>
      <c r="K32" s="110"/>
    </row>
    <row r="33" spans="2:11" s="186" customFormat="1" ht="15.75" thickBot="1" x14ac:dyDescent="0.3">
      <c r="B33" s="215"/>
      <c r="C33" s="8">
        <v>2</v>
      </c>
      <c r="D33" s="29"/>
      <c r="E33" s="158"/>
      <c r="F33" s="205"/>
      <c r="G33" s="205"/>
      <c r="H33" s="205"/>
      <c r="I33" s="205"/>
      <c r="J33" s="29"/>
      <c r="K33" s="110"/>
    </row>
    <row r="34" spans="2:11" s="186" customFormat="1" ht="15.75" thickBot="1" x14ac:dyDescent="0.3">
      <c r="B34" s="215"/>
      <c r="C34" s="8">
        <v>3</v>
      </c>
      <c r="D34" s="29"/>
      <c r="E34" s="158"/>
      <c r="F34" s="205"/>
      <c r="G34" s="205"/>
      <c r="H34" s="205"/>
      <c r="I34" s="205"/>
      <c r="J34" s="29"/>
      <c r="K34" s="110"/>
    </row>
    <row r="35" spans="2:11" s="186" customFormat="1" ht="15.75" thickBot="1" x14ac:dyDescent="0.3">
      <c r="B35" s="215"/>
      <c r="C35" s="8">
        <v>4</v>
      </c>
      <c r="D35" s="29"/>
      <c r="E35" s="158"/>
      <c r="F35" s="205"/>
      <c r="G35" s="205"/>
      <c r="H35" s="205"/>
      <c r="I35" s="205"/>
      <c r="J35" s="29"/>
      <c r="K35" s="110"/>
    </row>
    <row r="36" spans="2:11" s="186" customFormat="1" ht="15.75" thickBot="1" x14ac:dyDescent="0.3">
      <c r="B36" s="215"/>
      <c r="C36" s="8">
        <v>5</v>
      </c>
      <c r="D36" s="29"/>
      <c r="E36" s="158"/>
      <c r="F36" s="205"/>
      <c r="G36" s="205"/>
      <c r="H36" s="205"/>
      <c r="I36" s="205"/>
      <c r="J36" s="30"/>
      <c r="K36" s="110"/>
    </row>
    <row r="37" spans="2:11" s="186" customFormat="1" ht="15.75" thickBot="1" x14ac:dyDescent="0.3">
      <c r="B37" s="215"/>
      <c r="C37" s="8">
        <v>6</v>
      </c>
      <c r="D37" s="29"/>
      <c r="E37" s="158"/>
      <c r="F37" s="205"/>
      <c r="G37" s="205"/>
      <c r="H37" s="205"/>
      <c r="I37" s="205"/>
      <c r="J37" s="30"/>
      <c r="K37" s="110"/>
    </row>
    <row r="38" spans="2:11" s="186" customFormat="1" ht="15.75" thickBot="1" x14ac:dyDescent="0.3">
      <c r="B38" s="215"/>
      <c r="C38" s="8">
        <v>7</v>
      </c>
      <c r="D38" s="29"/>
      <c r="E38" s="158"/>
      <c r="F38" s="205"/>
      <c r="G38" s="205"/>
      <c r="H38" s="205"/>
      <c r="I38" s="205"/>
      <c r="J38" s="30"/>
      <c r="K38" s="110"/>
    </row>
    <row r="39" spans="2:11" s="186" customFormat="1" ht="15.75" thickBot="1" x14ac:dyDescent="0.3">
      <c r="B39" s="215"/>
      <c r="C39" s="8">
        <v>8</v>
      </c>
      <c r="D39" s="29"/>
      <c r="E39" s="158"/>
      <c r="F39" s="205"/>
      <c r="G39" s="205"/>
      <c r="H39" s="205"/>
      <c r="I39" s="205"/>
      <c r="J39" s="30"/>
      <c r="K39" s="110"/>
    </row>
    <row r="40" spans="2:11" s="186" customFormat="1" ht="15.75" thickBot="1" x14ac:dyDescent="0.3">
      <c r="B40" s="215"/>
      <c r="C40" s="8">
        <v>9</v>
      </c>
      <c r="D40" s="30"/>
      <c r="E40" s="158"/>
      <c r="F40" s="205"/>
      <c r="G40" s="205"/>
      <c r="H40" s="205"/>
      <c r="I40" s="205"/>
      <c r="J40" s="30"/>
      <c r="K40" s="110"/>
    </row>
    <row r="41" spans="2:11" s="186" customFormat="1" ht="15.75" thickBot="1" x14ac:dyDescent="0.3">
      <c r="B41" s="215"/>
      <c r="C41" s="8">
        <v>10</v>
      </c>
      <c r="D41" s="30"/>
      <c r="E41" s="158"/>
      <c r="F41" s="205"/>
      <c r="G41" s="205"/>
      <c r="H41" s="205"/>
      <c r="I41" s="205"/>
      <c r="J41" s="30"/>
      <c r="K41" s="110"/>
    </row>
    <row r="42" spans="2:11" s="186" customFormat="1" ht="15.75" thickBot="1" x14ac:dyDescent="0.3">
      <c r="B42" s="215"/>
      <c r="C42" s="8">
        <v>11</v>
      </c>
      <c r="D42" s="30"/>
      <c r="E42" s="158"/>
      <c r="F42" s="205"/>
      <c r="G42" s="205"/>
      <c r="H42" s="205"/>
      <c r="I42" s="205"/>
      <c r="J42" s="30"/>
      <c r="K42" s="110"/>
    </row>
    <row r="43" spans="2:11" s="186" customFormat="1" ht="15.75" thickBot="1" x14ac:dyDescent="0.3">
      <c r="B43" s="215"/>
      <c r="C43" s="8">
        <v>12</v>
      </c>
      <c r="D43" s="30"/>
      <c r="E43" s="158"/>
      <c r="F43" s="205"/>
      <c r="G43" s="205"/>
      <c r="H43" s="205"/>
      <c r="I43" s="205"/>
      <c r="J43" s="30"/>
      <c r="K43" s="110"/>
    </row>
    <row r="44" spans="2:11" s="186" customFormat="1" ht="15.75" thickBot="1" x14ac:dyDescent="0.3">
      <c r="B44" s="215"/>
      <c r="C44" s="8">
        <v>13</v>
      </c>
      <c r="D44" s="30"/>
      <c r="E44" s="158"/>
      <c r="F44" s="205"/>
      <c r="G44" s="205"/>
      <c r="H44" s="205"/>
      <c r="I44" s="205"/>
      <c r="J44" s="30"/>
      <c r="K44" s="110"/>
    </row>
    <row r="45" spans="2:11" s="186" customFormat="1" ht="15.75" thickBot="1" x14ac:dyDescent="0.3">
      <c r="B45" s="215"/>
      <c r="C45" s="8">
        <v>14</v>
      </c>
      <c r="D45" s="30"/>
      <c r="E45" s="158"/>
      <c r="F45" s="205"/>
      <c r="G45" s="205"/>
      <c r="H45" s="205"/>
      <c r="I45" s="205"/>
      <c r="J45" s="30"/>
      <c r="K45" s="110"/>
    </row>
    <row r="46" spans="2:11" s="186" customFormat="1" ht="15.75" thickBot="1" x14ac:dyDescent="0.3">
      <c r="B46" s="215"/>
      <c r="C46" s="8">
        <v>15</v>
      </c>
      <c r="D46" s="30"/>
      <c r="E46" s="158"/>
      <c r="F46" s="205"/>
      <c r="G46" s="205"/>
      <c r="H46" s="205"/>
      <c r="I46" s="205"/>
      <c r="J46" s="30"/>
      <c r="K46" s="110"/>
    </row>
    <row r="47" spans="2:11" s="186" customFormat="1" ht="15.75" thickBot="1" x14ac:dyDescent="0.3">
      <c r="B47" s="215"/>
      <c r="C47" s="8">
        <v>16</v>
      </c>
      <c r="D47" s="30"/>
      <c r="E47" s="158"/>
      <c r="F47" s="205"/>
      <c r="G47" s="205"/>
      <c r="H47" s="205"/>
      <c r="I47" s="205"/>
      <c r="J47" s="30"/>
      <c r="K47" s="110"/>
    </row>
    <row r="48" spans="2:11" s="186" customFormat="1" ht="15.75" thickBot="1" x14ac:dyDescent="0.3">
      <c r="B48" s="215"/>
      <c r="C48" s="8">
        <v>17</v>
      </c>
      <c r="D48" s="30"/>
      <c r="E48" s="158"/>
      <c r="F48" s="205"/>
      <c r="G48" s="205"/>
      <c r="H48" s="205"/>
      <c r="I48" s="205"/>
      <c r="J48" s="30"/>
      <c r="K48" s="110"/>
    </row>
    <row r="49" spans="2:11" s="186" customFormat="1" ht="15.75" thickBot="1" x14ac:dyDescent="0.3">
      <c r="B49" s="215"/>
      <c r="C49" s="8">
        <v>18</v>
      </c>
      <c r="D49" s="30"/>
      <c r="E49" s="158"/>
      <c r="F49" s="205"/>
      <c r="G49" s="205"/>
      <c r="H49" s="205"/>
      <c r="I49" s="205"/>
      <c r="J49" s="30"/>
      <c r="K49" s="110"/>
    </row>
    <row r="50" spans="2:11" s="186" customFormat="1" ht="15.75" thickBot="1" x14ac:dyDescent="0.3">
      <c r="B50" s="215"/>
      <c r="C50" s="8">
        <v>19</v>
      </c>
      <c r="D50" s="30"/>
      <c r="E50" s="158"/>
      <c r="F50" s="205"/>
      <c r="G50" s="205"/>
      <c r="H50" s="205"/>
      <c r="I50" s="205"/>
      <c r="J50" s="30"/>
      <c r="K50" s="110"/>
    </row>
    <row r="51" spans="2:11" ht="15.75" thickBot="1" x14ac:dyDescent="0.3">
      <c r="B51" s="216"/>
      <c r="C51" s="2"/>
      <c r="D51" s="40" t="s">
        <v>151</v>
      </c>
      <c r="E51" s="40"/>
      <c r="F51" s="134">
        <f>SUM(F32:F50)</f>
        <v>700400000</v>
      </c>
      <c r="G51" s="134">
        <f>SUM(G32:G50)</f>
        <v>700400000</v>
      </c>
      <c r="H51" s="134">
        <f>SUM(H32:H50)</f>
        <v>700400000</v>
      </c>
      <c r="I51" s="134">
        <f>SUM(I32:I50)</f>
        <v>490280000</v>
      </c>
      <c r="J51" s="30"/>
      <c r="K51" s="114"/>
    </row>
    <row r="52" spans="2:11" ht="15.75" thickBot="1" x14ac:dyDescent="0.3">
      <c r="B52" s="46"/>
      <c r="C52" s="91"/>
      <c r="D52" s="1048" t="s">
        <v>276</v>
      </c>
      <c r="E52" s="1049"/>
      <c r="F52" s="1049"/>
      <c r="G52" s="1049"/>
      <c r="H52" s="1049"/>
      <c r="I52" s="1049"/>
      <c r="J52" s="1049"/>
      <c r="K52" s="1050"/>
    </row>
    <row r="53" spans="2:11" ht="36" customHeight="1" thickBot="1" x14ac:dyDescent="0.3">
      <c r="B53" s="71" t="s">
        <v>34</v>
      </c>
      <c r="C53" s="105"/>
      <c r="D53" s="1048" t="s">
        <v>277</v>
      </c>
      <c r="E53" s="1049"/>
      <c r="F53" s="1049"/>
      <c r="G53" s="1049"/>
      <c r="H53" s="1049"/>
      <c r="I53" s="1049"/>
      <c r="J53" s="1049"/>
      <c r="K53" s="1050"/>
    </row>
    <row r="54" spans="2:11" ht="23.25" thickBot="1" x14ac:dyDescent="0.3">
      <c r="B54" s="71" t="s">
        <v>36</v>
      </c>
      <c r="C54" s="105"/>
      <c r="D54" s="1048" t="s">
        <v>278</v>
      </c>
      <c r="E54" s="1049"/>
      <c r="F54" s="1049"/>
      <c r="G54" s="1049"/>
      <c r="H54" s="1049"/>
      <c r="I54" s="1049"/>
      <c r="J54" s="1049"/>
      <c r="K54" s="1050"/>
    </row>
    <row r="55" spans="2:11" ht="15.75" thickBot="1" x14ac:dyDescent="0.3">
      <c r="B55" s="1"/>
      <c r="C55" s="74"/>
      <c r="D55" s="5"/>
      <c r="E55" s="5"/>
      <c r="F55" s="5"/>
      <c r="G55" s="5"/>
      <c r="H55" s="5"/>
      <c r="I55" s="5"/>
      <c r="J55" s="5"/>
      <c r="K55" s="5"/>
    </row>
    <row r="56" spans="2:11" ht="24" customHeight="1" thickBot="1" x14ac:dyDescent="0.3">
      <c r="B56" s="1054" t="s">
        <v>38</v>
      </c>
      <c r="C56" s="1055"/>
      <c r="D56" s="1055"/>
      <c r="E56" s="1056"/>
      <c r="F56" s="5"/>
      <c r="G56" s="5"/>
      <c r="H56" s="5"/>
      <c r="I56" s="5"/>
      <c r="J56" s="5"/>
      <c r="K56" s="5"/>
    </row>
    <row r="57" spans="2:11" ht="15.75" thickBot="1" x14ac:dyDescent="0.3">
      <c r="B57" s="1045">
        <v>1</v>
      </c>
      <c r="C57" s="92"/>
      <c r="D57" s="47" t="s">
        <v>39</v>
      </c>
      <c r="E57" s="30" t="s">
        <v>1771</v>
      </c>
      <c r="F57" s="5"/>
      <c r="G57" s="5"/>
      <c r="H57" s="5"/>
      <c r="I57" s="5"/>
      <c r="J57" s="5"/>
      <c r="K57" s="5"/>
    </row>
    <row r="58" spans="2:11" ht="15.75" thickBot="1" x14ac:dyDescent="0.3">
      <c r="B58" s="1046"/>
      <c r="C58" s="92"/>
      <c r="D58" s="40" t="s">
        <v>40</v>
      </c>
      <c r="E58" s="30" t="s">
        <v>1772</v>
      </c>
      <c r="F58" s="5"/>
      <c r="G58" s="5"/>
      <c r="H58" s="5"/>
      <c r="I58" s="5"/>
      <c r="J58" s="5"/>
      <c r="K58" s="5"/>
    </row>
    <row r="59" spans="2:11" ht="15.75" thickBot="1" x14ac:dyDescent="0.3">
      <c r="B59" s="1046"/>
      <c r="C59" s="92"/>
      <c r="D59" s="40" t="s">
        <v>41</v>
      </c>
      <c r="E59" s="30" t="s">
        <v>1774</v>
      </c>
      <c r="F59" s="5"/>
      <c r="G59" s="5"/>
      <c r="H59" s="5"/>
      <c r="I59" s="5"/>
      <c r="J59" s="5"/>
      <c r="K59" s="5"/>
    </row>
    <row r="60" spans="2:11" ht="15.75" thickBot="1" x14ac:dyDescent="0.3">
      <c r="B60" s="1046"/>
      <c r="C60" s="92"/>
      <c r="D60" s="40" t="s">
        <v>42</v>
      </c>
      <c r="E60" s="30" t="s">
        <v>1494</v>
      </c>
      <c r="F60" s="5"/>
      <c r="G60" s="5"/>
      <c r="H60" s="5"/>
      <c r="I60" s="5"/>
      <c r="J60" s="5"/>
      <c r="K60" s="5"/>
    </row>
    <row r="61" spans="2:11" ht="15.75" thickBot="1" x14ac:dyDescent="0.3">
      <c r="B61" s="1046"/>
      <c r="C61" s="92"/>
      <c r="D61" s="40" t="s">
        <v>43</v>
      </c>
      <c r="E61" s="515" t="s">
        <v>1775</v>
      </c>
      <c r="F61" s="5"/>
      <c r="G61" s="5"/>
      <c r="H61" s="5"/>
      <c r="I61" s="5"/>
      <c r="J61" s="5"/>
      <c r="K61" s="5"/>
    </row>
    <row r="62" spans="2:11" ht="15.75" thickBot="1" x14ac:dyDescent="0.3">
      <c r="B62" s="1046"/>
      <c r="C62" s="92"/>
      <c r="D62" s="40" t="s">
        <v>44</v>
      </c>
      <c r="E62" s="30">
        <v>4380200</v>
      </c>
      <c r="F62" s="5"/>
      <c r="G62" s="5"/>
      <c r="H62" s="5"/>
      <c r="I62" s="5"/>
      <c r="J62" s="5"/>
      <c r="K62" s="5"/>
    </row>
    <row r="63" spans="2:11" ht="15.75" thickBot="1" x14ac:dyDescent="0.3">
      <c r="B63" s="1047"/>
      <c r="C63" s="2"/>
      <c r="D63" s="40" t="s">
        <v>45</v>
      </c>
      <c r="E63" s="30" t="s">
        <v>1773</v>
      </c>
      <c r="F63" s="5"/>
      <c r="G63" s="5"/>
      <c r="H63" s="5"/>
      <c r="I63" s="5"/>
      <c r="J63" s="5"/>
      <c r="K63" s="5"/>
    </row>
    <row r="64" spans="2:11" ht="15.75" thickBot="1" x14ac:dyDescent="0.3">
      <c r="B64" s="1"/>
      <c r="C64" s="74"/>
      <c r="D64" s="5"/>
      <c r="E64" s="5"/>
      <c r="F64" s="5"/>
      <c r="G64" s="5"/>
      <c r="H64" s="5"/>
      <c r="I64" s="5"/>
      <c r="J64" s="5"/>
      <c r="K64" s="5"/>
    </row>
    <row r="65" spans="2:11" ht="15.75" thickBot="1" x14ac:dyDescent="0.3">
      <c r="B65" s="1054" t="s">
        <v>46</v>
      </c>
      <c r="C65" s="1055"/>
      <c r="D65" s="1055"/>
      <c r="E65" s="1056"/>
      <c r="F65" s="5"/>
      <c r="G65" s="5"/>
      <c r="H65" s="5"/>
      <c r="I65" s="5"/>
      <c r="J65" s="5"/>
      <c r="K65" s="5"/>
    </row>
    <row r="66" spans="2:11" ht="15.75" thickBot="1" x14ac:dyDescent="0.3">
      <c r="B66" s="1045">
        <v>1</v>
      </c>
      <c r="C66" s="92"/>
      <c r="D66" s="47" t="s">
        <v>39</v>
      </c>
      <c r="E66" s="217" t="s">
        <v>47</v>
      </c>
      <c r="F66" s="5"/>
      <c r="G66" s="5"/>
      <c r="H66" s="5"/>
      <c r="I66" s="5"/>
      <c r="J66" s="5"/>
      <c r="K66" s="5"/>
    </row>
    <row r="67" spans="2:11" ht="15.75" thickBot="1" x14ac:dyDescent="0.3">
      <c r="B67" s="1046"/>
      <c r="C67" s="92"/>
      <c r="D67" s="40" t="s">
        <v>40</v>
      </c>
      <c r="E67" s="217" t="s">
        <v>48</v>
      </c>
      <c r="F67" s="5"/>
      <c r="G67" s="5"/>
      <c r="H67" s="5"/>
      <c r="I67" s="5"/>
      <c r="J67" s="5"/>
      <c r="K67" s="5"/>
    </row>
    <row r="68" spans="2:11" ht="15.75" thickBot="1" x14ac:dyDescent="0.3">
      <c r="B68" s="1046"/>
      <c r="C68" s="92"/>
      <c r="D68" s="40" t="s">
        <v>41</v>
      </c>
      <c r="E68" s="234"/>
      <c r="F68" s="5"/>
      <c r="G68" s="5"/>
      <c r="H68" s="5"/>
      <c r="I68" s="5"/>
      <c r="J68" s="5"/>
      <c r="K68" s="5"/>
    </row>
    <row r="69" spans="2:11" ht="15.75" thickBot="1" x14ac:dyDescent="0.3">
      <c r="B69" s="1046"/>
      <c r="C69" s="92"/>
      <c r="D69" s="40" t="s">
        <v>42</v>
      </c>
      <c r="E69" s="234"/>
      <c r="F69" s="5"/>
      <c r="G69" s="5"/>
      <c r="H69" s="5"/>
      <c r="I69" s="5"/>
      <c r="J69" s="5"/>
      <c r="K69" s="5"/>
    </row>
    <row r="70" spans="2:11" ht="15.75" thickBot="1" x14ac:dyDescent="0.3">
      <c r="B70" s="1046"/>
      <c r="C70" s="92"/>
      <c r="D70" s="40" t="s">
        <v>43</v>
      </c>
      <c r="E70" s="234"/>
      <c r="F70" s="5"/>
      <c r="G70" s="5"/>
      <c r="H70" s="5"/>
      <c r="I70" s="5"/>
      <c r="J70" s="5"/>
      <c r="K70" s="5"/>
    </row>
    <row r="71" spans="2:11" ht="15.75" thickBot="1" x14ac:dyDescent="0.3">
      <c r="B71" s="1046"/>
      <c r="C71" s="92"/>
      <c r="D71" s="40" t="s">
        <v>44</v>
      </c>
      <c r="E71" s="234"/>
      <c r="F71" s="5"/>
      <c r="G71" s="5"/>
      <c r="H71" s="5"/>
      <c r="I71" s="5"/>
      <c r="J71" s="5"/>
      <c r="K71" s="5"/>
    </row>
    <row r="72" spans="2:11" ht="15.75" thickBot="1" x14ac:dyDescent="0.3">
      <c r="B72" s="1047"/>
      <c r="C72" s="2"/>
      <c r="D72" s="40" t="s">
        <v>45</v>
      </c>
      <c r="E72" s="234"/>
      <c r="F72" s="5"/>
      <c r="G72" s="5"/>
      <c r="H72" s="5"/>
      <c r="I72" s="5"/>
      <c r="J72" s="5"/>
      <c r="K72" s="5"/>
    </row>
    <row r="73" spans="2:11" ht="15.75" thickBot="1" x14ac:dyDescent="0.3">
      <c r="B73" s="1"/>
      <c r="C73" s="74"/>
      <c r="D73" s="5"/>
      <c r="E73" s="5"/>
      <c r="F73" s="5"/>
      <c r="G73" s="5"/>
      <c r="H73" s="5"/>
      <c r="I73" s="5"/>
      <c r="J73" s="5"/>
      <c r="K73" s="5"/>
    </row>
    <row r="74" spans="2:11" ht="15.75" thickBot="1" x14ac:dyDescent="0.3">
      <c r="B74" s="1054" t="s">
        <v>49</v>
      </c>
      <c r="C74" s="1055"/>
      <c r="D74" s="1055"/>
      <c r="E74" s="1055"/>
      <c r="F74" s="1056"/>
      <c r="G74" s="5"/>
      <c r="H74" s="5"/>
      <c r="I74" s="5"/>
      <c r="J74" s="5"/>
      <c r="K74" s="5"/>
    </row>
    <row r="75" spans="2:11" ht="24.75" thickBot="1" x14ac:dyDescent="0.3">
      <c r="B75" s="46" t="s">
        <v>50</v>
      </c>
      <c r="C75" s="40" t="s">
        <v>51</v>
      </c>
      <c r="D75" s="40" t="s">
        <v>52</v>
      </c>
      <c r="E75" s="40" t="s">
        <v>53</v>
      </c>
      <c r="F75" s="5"/>
      <c r="G75" s="5"/>
      <c r="H75" s="5"/>
      <c r="I75" s="5"/>
      <c r="J75" s="5"/>
    </row>
    <row r="76" spans="2:11" ht="96.75" thickBot="1" x14ac:dyDescent="0.3">
      <c r="B76" s="48">
        <v>42401</v>
      </c>
      <c r="C76" s="40">
        <v>0.01</v>
      </c>
      <c r="D76" s="67" t="s">
        <v>279</v>
      </c>
      <c r="E76" s="40"/>
      <c r="F76" s="5"/>
      <c r="G76" s="5"/>
      <c r="H76" s="5"/>
      <c r="I76" s="5"/>
      <c r="J76" s="5"/>
    </row>
    <row r="77" spans="2:11" ht="15.75" thickBot="1" x14ac:dyDescent="0.3">
      <c r="B77" s="1"/>
      <c r="C77" s="74"/>
      <c r="D77" s="5"/>
      <c r="E77" s="5"/>
      <c r="F77" s="5"/>
      <c r="G77" s="5"/>
      <c r="H77" s="5"/>
      <c r="I77" s="5"/>
      <c r="J77" s="5"/>
      <c r="K77" s="5"/>
    </row>
    <row r="78" spans="2:11" ht="15.75" thickBot="1" x14ac:dyDescent="0.3">
      <c r="B78" s="4" t="s">
        <v>55</v>
      </c>
      <c r="C78" s="94"/>
      <c r="D78" s="5"/>
      <c r="E78" s="5"/>
      <c r="F78" s="5"/>
      <c r="G78" s="5"/>
      <c r="H78" s="5"/>
      <c r="I78" s="5"/>
      <c r="J78" s="5"/>
      <c r="K78" s="5"/>
    </row>
    <row r="79" spans="2:11" x14ac:dyDescent="0.25">
      <c r="B79" s="1085"/>
      <c r="C79" s="1086"/>
      <c r="D79" s="1086"/>
      <c r="E79" s="1086"/>
      <c r="F79" s="1086"/>
      <c r="G79" s="1086"/>
      <c r="H79" s="1086"/>
      <c r="I79" s="1086"/>
      <c r="J79" s="1086"/>
      <c r="K79" s="5"/>
    </row>
    <row r="80" spans="2:11" ht="15.75" thickBot="1" x14ac:dyDescent="0.3">
      <c r="B80" s="1085"/>
      <c r="C80" s="1086"/>
      <c r="D80" s="1086"/>
      <c r="E80" s="1086"/>
      <c r="F80" s="1086"/>
      <c r="G80" s="1086"/>
      <c r="H80" s="1086"/>
      <c r="I80" s="1086"/>
      <c r="J80" s="1086"/>
      <c r="K80" s="5"/>
    </row>
    <row r="81" spans="2:11" ht="15.75" thickBot="1" x14ac:dyDescent="0.3">
      <c r="B81" s="1054" t="s">
        <v>56</v>
      </c>
      <c r="C81" s="1055"/>
      <c r="D81" s="1056"/>
      <c r="E81" s="5"/>
      <c r="F81" s="5"/>
      <c r="G81" s="5"/>
      <c r="H81" s="5"/>
      <c r="I81" s="5"/>
      <c r="J81" s="5"/>
      <c r="K81" s="5"/>
    </row>
    <row r="82" spans="2:11" ht="120.75" thickBot="1" x14ac:dyDescent="0.3">
      <c r="B82" s="46" t="s">
        <v>57</v>
      </c>
      <c r="C82" s="2"/>
      <c r="D82" s="40" t="s">
        <v>221</v>
      </c>
      <c r="E82" s="5"/>
      <c r="F82" s="5"/>
      <c r="G82" s="5"/>
      <c r="H82" s="5"/>
      <c r="I82" s="5"/>
      <c r="J82" s="5"/>
      <c r="K82" s="5"/>
    </row>
    <row r="83" spans="2:11" x14ac:dyDescent="0.25">
      <c r="B83" s="1045" t="s">
        <v>59</v>
      </c>
      <c r="C83" s="92"/>
      <c r="D83" s="52" t="s">
        <v>60</v>
      </c>
      <c r="E83" s="5"/>
      <c r="F83" s="5"/>
      <c r="G83" s="5"/>
      <c r="H83" s="5"/>
      <c r="I83" s="5"/>
      <c r="J83" s="5"/>
      <c r="K83" s="5"/>
    </row>
    <row r="84" spans="2:11" ht="72" x14ac:dyDescent="0.25">
      <c r="B84" s="1046"/>
      <c r="C84" s="92"/>
      <c r="D84" s="45" t="s">
        <v>222</v>
      </c>
      <c r="E84" s="5"/>
      <c r="F84" s="5"/>
      <c r="G84" s="5"/>
      <c r="H84" s="5"/>
      <c r="I84" s="5"/>
      <c r="J84" s="5"/>
      <c r="K84" s="5"/>
    </row>
    <row r="85" spans="2:11" ht="48" x14ac:dyDescent="0.25">
      <c r="B85" s="1046"/>
      <c r="C85" s="92"/>
      <c r="D85" s="45" t="s">
        <v>223</v>
      </c>
      <c r="E85" s="5"/>
      <c r="F85" s="5"/>
      <c r="G85" s="5"/>
      <c r="H85" s="5"/>
      <c r="I85" s="5"/>
      <c r="J85" s="5"/>
      <c r="K85" s="5"/>
    </row>
    <row r="86" spans="2:11" x14ac:dyDescent="0.25">
      <c r="B86" s="1046"/>
      <c r="C86" s="92"/>
      <c r="D86" s="52" t="s">
        <v>224</v>
      </c>
      <c r="E86" s="5"/>
      <c r="F86" s="5"/>
      <c r="G86" s="5"/>
      <c r="H86" s="5"/>
      <c r="I86" s="5"/>
      <c r="J86" s="5"/>
      <c r="K86" s="5"/>
    </row>
    <row r="87" spans="2:11" x14ac:dyDescent="0.25">
      <c r="B87" s="1046"/>
      <c r="C87" s="92"/>
      <c r="D87" s="45" t="s">
        <v>64</v>
      </c>
      <c r="E87" s="5"/>
      <c r="F87" s="5"/>
      <c r="G87" s="5"/>
      <c r="H87" s="5"/>
      <c r="I87" s="5"/>
      <c r="J87" s="5"/>
      <c r="K87" s="5"/>
    </row>
    <row r="88" spans="2:11" x14ac:dyDescent="0.25">
      <c r="B88" s="1046"/>
      <c r="C88" s="92"/>
      <c r="D88" s="45" t="s">
        <v>165</v>
      </c>
      <c r="E88" s="5"/>
      <c r="F88" s="5"/>
      <c r="G88" s="5"/>
      <c r="H88" s="5"/>
      <c r="I88" s="5"/>
      <c r="J88" s="5"/>
      <c r="K88" s="5"/>
    </row>
    <row r="89" spans="2:11" ht="15.75" thickBot="1" x14ac:dyDescent="0.3">
      <c r="B89" s="1047"/>
      <c r="C89" s="2"/>
      <c r="D89" s="40" t="s">
        <v>225</v>
      </c>
      <c r="E89" s="5"/>
      <c r="F89" s="5"/>
      <c r="G89" s="5"/>
      <c r="H89" s="5"/>
      <c r="I89" s="5"/>
      <c r="J89" s="5"/>
      <c r="K89" s="5"/>
    </row>
    <row r="90" spans="2:11" ht="24.75" thickBot="1" x14ac:dyDescent="0.3">
      <c r="B90" s="46" t="s">
        <v>72</v>
      </c>
      <c r="C90" s="2"/>
      <c r="D90" s="40"/>
      <c r="E90" s="5"/>
      <c r="F90" s="5"/>
      <c r="G90" s="5"/>
      <c r="H90" s="5"/>
      <c r="I90" s="5"/>
      <c r="J90" s="5"/>
      <c r="K90" s="5"/>
    </row>
    <row r="91" spans="2:11" ht="156" x14ac:dyDescent="0.25">
      <c r="B91" s="1045" t="s">
        <v>73</v>
      </c>
      <c r="C91" s="92"/>
      <c r="D91" s="45" t="s">
        <v>226</v>
      </c>
      <c r="E91" s="5"/>
      <c r="F91" s="5"/>
      <c r="G91" s="5"/>
      <c r="H91" s="5"/>
      <c r="I91" s="5"/>
      <c r="J91" s="5"/>
      <c r="K91" s="5"/>
    </row>
    <row r="92" spans="2:11" ht="132.75" thickBot="1" x14ac:dyDescent="0.3">
      <c r="B92" s="1047"/>
      <c r="C92" s="2"/>
      <c r="D92" s="40" t="s">
        <v>227</v>
      </c>
      <c r="E92" s="5"/>
      <c r="F92" s="5"/>
      <c r="G92" s="5"/>
      <c r="H92" s="5"/>
      <c r="I92" s="5"/>
      <c r="J92" s="5"/>
      <c r="K92" s="5"/>
    </row>
    <row r="93" spans="2:11" ht="29.45" customHeight="1" x14ac:dyDescent="0.25">
      <c r="B93" s="1045" t="s">
        <v>90</v>
      </c>
      <c r="C93" s="92"/>
      <c r="D93" s="45" t="s">
        <v>91</v>
      </c>
      <c r="E93" s="5"/>
      <c r="F93" s="5"/>
      <c r="G93" s="5"/>
      <c r="H93" s="5"/>
      <c r="I93" s="5"/>
      <c r="J93" s="5"/>
      <c r="K93" s="5"/>
    </row>
    <row r="94" spans="2:11" ht="73.5" x14ac:dyDescent="0.25">
      <c r="B94" s="1046"/>
      <c r="C94" s="92"/>
      <c r="D94" s="45" t="s">
        <v>228</v>
      </c>
      <c r="E94" s="5"/>
      <c r="F94" s="5"/>
      <c r="G94" s="5"/>
      <c r="H94" s="5"/>
      <c r="I94" s="5"/>
      <c r="J94" s="5"/>
      <c r="K94" s="5"/>
    </row>
    <row r="95" spans="2:11" ht="37.5" x14ac:dyDescent="0.25">
      <c r="B95" s="1046"/>
      <c r="C95" s="92"/>
      <c r="D95" s="45" t="s">
        <v>229</v>
      </c>
      <c r="E95" s="5"/>
      <c r="F95" s="5"/>
      <c r="G95" s="5"/>
      <c r="H95" s="5"/>
      <c r="I95" s="5"/>
      <c r="J95" s="5"/>
      <c r="K95" s="5"/>
    </row>
    <row r="96" spans="2:11" ht="37.5" x14ac:dyDescent="0.25">
      <c r="B96" s="1046"/>
      <c r="C96" s="92"/>
      <c r="D96" s="45" t="s">
        <v>230</v>
      </c>
      <c r="E96" s="5"/>
      <c r="F96" s="5"/>
      <c r="G96" s="5"/>
      <c r="H96" s="5"/>
      <c r="I96" s="5"/>
      <c r="J96" s="5"/>
      <c r="K96" s="5"/>
    </row>
    <row r="97" spans="2:11" ht="37.5" x14ac:dyDescent="0.25">
      <c r="B97" s="1046"/>
      <c r="C97" s="92"/>
      <c r="D97" s="45" t="s">
        <v>231</v>
      </c>
      <c r="E97" s="5"/>
      <c r="F97" s="5"/>
      <c r="G97" s="5"/>
      <c r="H97" s="5"/>
      <c r="I97" s="5"/>
      <c r="J97" s="5"/>
      <c r="K97" s="5"/>
    </row>
    <row r="98" spans="2:11" x14ac:dyDescent="0.25">
      <c r="B98" s="1046"/>
      <c r="C98" s="92"/>
      <c r="D98" s="45" t="s">
        <v>232</v>
      </c>
      <c r="E98" s="5"/>
      <c r="F98" s="5"/>
      <c r="G98" s="5"/>
      <c r="H98" s="5"/>
      <c r="I98" s="5"/>
      <c r="J98" s="5"/>
      <c r="K98" s="5"/>
    </row>
    <row r="99" spans="2:11" x14ac:dyDescent="0.25">
      <c r="B99" s="1046"/>
      <c r="C99" s="92"/>
      <c r="D99" s="45" t="s">
        <v>233</v>
      </c>
      <c r="E99" s="5"/>
      <c r="F99" s="5"/>
      <c r="G99" s="5"/>
      <c r="H99" s="5"/>
      <c r="I99" s="5"/>
      <c r="J99" s="5"/>
      <c r="K99" s="5"/>
    </row>
    <row r="100" spans="2:11" x14ac:dyDescent="0.25">
      <c r="B100" s="1046"/>
      <c r="C100" s="92"/>
      <c r="D100" s="45" t="s">
        <v>234</v>
      </c>
      <c r="E100" s="5"/>
      <c r="F100" s="5"/>
      <c r="G100" s="5"/>
      <c r="H100" s="5"/>
      <c r="I100" s="5"/>
      <c r="J100" s="5"/>
      <c r="K100" s="5"/>
    </row>
    <row r="101" spans="2:11" x14ac:dyDescent="0.25">
      <c r="B101" s="1046"/>
      <c r="C101" s="92"/>
      <c r="D101" s="45" t="s">
        <v>99</v>
      </c>
      <c r="E101" s="5"/>
      <c r="F101" s="5"/>
      <c r="G101" s="5"/>
      <c r="H101" s="5"/>
      <c r="I101" s="5"/>
      <c r="J101" s="5"/>
      <c r="K101" s="5"/>
    </row>
    <row r="102" spans="2:11" ht="84" x14ac:dyDescent="0.25">
      <c r="B102" s="1046"/>
      <c r="C102" s="92"/>
      <c r="D102" s="53" t="s">
        <v>235</v>
      </c>
      <c r="E102" s="5"/>
      <c r="F102" s="5"/>
      <c r="G102" s="5"/>
      <c r="H102" s="5"/>
      <c r="I102" s="5"/>
      <c r="J102" s="5"/>
      <c r="K102" s="5"/>
    </row>
    <row r="103" spans="2:11" ht="24" x14ac:dyDescent="0.25">
      <c r="B103" s="1046"/>
      <c r="C103" s="92"/>
      <c r="D103" s="52" t="s">
        <v>236</v>
      </c>
      <c r="E103" s="5"/>
      <c r="F103" s="5"/>
      <c r="G103" s="5"/>
      <c r="H103" s="5"/>
      <c r="I103" s="5"/>
      <c r="J103" s="5"/>
      <c r="K103" s="5"/>
    </row>
    <row r="104" spans="2:11" x14ac:dyDescent="0.25">
      <c r="B104" s="1046"/>
      <c r="C104" s="92"/>
      <c r="D104" s="16"/>
      <c r="E104" s="5"/>
      <c r="F104" s="5"/>
      <c r="G104" s="5"/>
      <c r="H104" s="5"/>
      <c r="I104" s="5"/>
      <c r="J104" s="5"/>
      <c r="K104" s="5"/>
    </row>
    <row r="105" spans="2:11" x14ac:dyDescent="0.25">
      <c r="B105" s="1046"/>
      <c r="C105" s="92"/>
      <c r="D105" s="45" t="s">
        <v>91</v>
      </c>
      <c r="E105" s="5"/>
      <c r="F105" s="5"/>
      <c r="G105" s="5"/>
      <c r="H105" s="5"/>
      <c r="I105" s="5"/>
      <c r="J105" s="5"/>
      <c r="K105" s="5"/>
    </row>
    <row r="106" spans="2:11" ht="37.5" x14ac:dyDescent="0.25">
      <c r="B106" s="1046"/>
      <c r="C106" s="92"/>
      <c r="D106" s="45" t="s">
        <v>229</v>
      </c>
      <c r="E106" s="5"/>
      <c r="F106" s="5"/>
      <c r="G106" s="5"/>
      <c r="H106" s="5"/>
      <c r="I106" s="5"/>
      <c r="J106" s="5"/>
      <c r="K106" s="5"/>
    </row>
    <row r="107" spans="2:11" ht="25.5" x14ac:dyDescent="0.25">
      <c r="B107" s="1046"/>
      <c r="C107" s="92"/>
      <c r="D107" s="45" t="s">
        <v>237</v>
      </c>
      <c r="E107" s="5"/>
      <c r="F107" s="5"/>
      <c r="G107" s="5"/>
      <c r="H107" s="5"/>
      <c r="I107" s="5"/>
      <c r="J107" s="5"/>
      <c r="K107" s="5"/>
    </row>
    <row r="108" spans="2:11" x14ac:dyDescent="0.25">
      <c r="B108" s="1046"/>
      <c r="C108" s="92"/>
      <c r="D108" s="45" t="s">
        <v>238</v>
      </c>
      <c r="E108" s="5"/>
      <c r="F108" s="5"/>
      <c r="G108" s="5"/>
      <c r="H108" s="5"/>
      <c r="I108" s="5"/>
      <c r="J108" s="5"/>
      <c r="K108" s="5"/>
    </row>
    <row r="109" spans="2:11" x14ac:dyDescent="0.25">
      <c r="B109" s="1046"/>
      <c r="C109" s="92"/>
      <c r="D109" s="52" t="s">
        <v>239</v>
      </c>
      <c r="E109" s="5"/>
      <c r="F109" s="5"/>
      <c r="G109" s="5"/>
      <c r="H109" s="5"/>
      <c r="I109" s="5"/>
      <c r="J109" s="5"/>
      <c r="K109" s="5"/>
    </row>
    <row r="110" spans="2:11" x14ac:dyDescent="0.25">
      <c r="B110" s="1046"/>
      <c r="C110" s="92"/>
      <c r="D110" s="16"/>
      <c r="E110" s="5"/>
      <c r="F110" s="5"/>
      <c r="G110" s="5"/>
      <c r="H110" s="5"/>
      <c r="I110" s="5"/>
      <c r="J110" s="5"/>
      <c r="K110" s="5"/>
    </row>
    <row r="111" spans="2:11" x14ac:dyDescent="0.25">
      <c r="B111" s="1046"/>
      <c r="C111" s="92"/>
      <c r="D111" s="45" t="s">
        <v>91</v>
      </c>
      <c r="E111" s="5"/>
      <c r="F111" s="5"/>
      <c r="G111" s="5"/>
      <c r="H111" s="5"/>
      <c r="I111" s="5"/>
      <c r="J111" s="5"/>
      <c r="K111" s="5"/>
    </row>
    <row r="112" spans="2:11" ht="37.5" x14ac:dyDescent="0.25">
      <c r="B112" s="1046"/>
      <c r="C112" s="92"/>
      <c r="D112" s="45" t="s">
        <v>230</v>
      </c>
      <c r="E112" s="5"/>
      <c r="F112" s="5"/>
      <c r="G112" s="5"/>
      <c r="H112" s="5"/>
      <c r="I112" s="5"/>
      <c r="J112" s="5"/>
      <c r="K112" s="5"/>
    </row>
    <row r="113" spans="2:11" ht="25.5" x14ac:dyDescent="0.25">
      <c r="B113" s="1046"/>
      <c r="C113" s="92"/>
      <c r="D113" s="45" t="s">
        <v>240</v>
      </c>
      <c r="E113" s="5"/>
      <c r="F113" s="5"/>
      <c r="G113" s="5"/>
      <c r="H113" s="5"/>
      <c r="I113" s="5"/>
      <c r="J113" s="5"/>
      <c r="K113" s="5"/>
    </row>
    <row r="114" spans="2:11" x14ac:dyDescent="0.25">
      <c r="B114" s="1046"/>
      <c r="C114" s="92"/>
      <c r="D114" s="45" t="s">
        <v>241</v>
      </c>
      <c r="E114" s="5"/>
      <c r="F114" s="5"/>
      <c r="G114" s="5"/>
      <c r="H114" s="5"/>
      <c r="I114" s="5"/>
      <c r="J114" s="5"/>
      <c r="K114" s="5"/>
    </row>
    <row r="115" spans="2:11" x14ac:dyDescent="0.25">
      <c r="B115" s="1046"/>
      <c r="C115" s="92"/>
      <c r="D115" s="52" t="s">
        <v>242</v>
      </c>
      <c r="E115" s="5"/>
      <c r="F115" s="5"/>
      <c r="G115" s="5"/>
      <c r="H115" s="5"/>
      <c r="I115" s="5"/>
      <c r="J115" s="5"/>
      <c r="K115" s="5"/>
    </row>
    <row r="116" spans="2:11" x14ac:dyDescent="0.25">
      <c r="B116" s="1046"/>
      <c r="C116" s="92"/>
      <c r="D116" s="16"/>
      <c r="E116" s="5"/>
      <c r="F116" s="5"/>
      <c r="G116" s="5"/>
      <c r="H116" s="5"/>
      <c r="I116" s="5"/>
      <c r="J116" s="5"/>
      <c r="K116" s="5"/>
    </row>
    <row r="117" spans="2:11" x14ac:dyDescent="0.25">
      <c r="B117" s="1046"/>
      <c r="C117" s="92"/>
      <c r="D117" s="45" t="s">
        <v>91</v>
      </c>
      <c r="E117" s="5"/>
      <c r="F117" s="5"/>
      <c r="G117" s="5"/>
      <c r="H117" s="5"/>
      <c r="I117" s="5"/>
      <c r="J117" s="5"/>
      <c r="K117" s="5"/>
    </row>
    <row r="118" spans="2:11" ht="37.5" x14ac:dyDescent="0.25">
      <c r="B118" s="1046"/>
      <c r="C118" s="92"/>
      <c r="D118" s="45" t="s">
        <v>243</v>
      </c>
      <c r="E118" s="5"/>
      <c r="F118" s="5"/>
      <c r="G118" s="5"/>
      <c r="H118" s="5"/>
      <c r="I118" s="5"/>
      <c r="J118" s="5"/>
      <c r="K118" s="5"/>
    </row>
    <row r="119" spans="2:11" ht="25.5" x14ac:dyDescent="0.25">
      <c r="B119" s="1046"/>
      <c r="C119" s="92"/>
      <c r="D119" s="45" t="s">
        <v>244</v>
      </c>
      <c r="E119" s="5"/>
      <c r="F119" s="5"/>
      <c r="G119" s="5"/>
      <c r="H119" s="5"/>
      <c r="I119" s="5"/>
      <c r="J119" s="5"/>
      <c r="K119" s="5"/>
    </row>
    <row r="120" spans="2:11" x14ac:dyDescent="0.25">
      <c r="B120" s="1046"/>
      <c r="C120" s="92"/>
      <c r="D120" s="45" t="s">
        <v>245</v>
      </c>
      <c r="E120" s="5"/>
      <c r="F120" s="5"/>
      <c r="G120" s="5"/>
      <c r="H120" s="5"/>
      <c r="I120" s="5"/>
      <c r="J120" s="5"/>
      <c r="K120" s="5"/>
    </row>
    <row r="121" spans="2:11" x14ac:dyDescent="0.25">
      <c r="B121" s="1046"/>
      <c r="C121" s="92"/>
      <c r="D121" s="52" t="s">
        <v>246</v>
      </c>
      <c r="E121" s="5"/>
      <c r="F121" s="5"/>
      <c r="G121" s="5"/>
      <c r="H121" s="5"/>
      <c r="I121" s="5"/>
      <c r="J121" s="5"/>
      <c r="K121" s="5"/>
    </row>
    <row r="122" spans="2:11" ht="36" x14ac:dyDescent="0.25">
      <c r="B122" s="1046"/>
      <c r="C122" s="92"/>
      <c r="D122" s="52" t="s">
        <v>247</v>
      </c>
      <c r="E122" s="5"/>
      <c r="F122" s="5"/>
      <c r="G122" s="5"/>
      <c r="H122" s="5"/>
      <c r="I122" s="5"/>
      <c r="J122" s="5"/>
      <c r="K122" s="5"/>
    </row>
    <row r="123" spans="2:11" x14ac:dyDescent="0.25">
      <c r="B123" s="1046"/>
      <c r="C123" s="92"/>
      <c r="D123" s="45" t="s">
        <v>248</v>
      </c>
      <c r="E123" s="5"/>
      <c r="F123" s="5"/>
      <c r="G123" s="5"/>
      <c r="H123" s="5"/>
      <c r="I123" s="5"/>
      <c r="J123" s="5"/>
      <c r="K123" s="5"/>
    </row>
    <row r="124" spans="2:11" x14ac:dyDescent="0.25">
      <c r="B124" s="1046"/>
      <c r="C124" s="92"/>
      <c r="D124" s="45" t="s">
        <v>91</v>
      </c>
      <c r="E124" s="5"/>
      <c r="F124" s="5"/>
      <c r="G124" s="5"/>
      <c r="H124" s="5"/>
      <c r="I124" s="5"/>
      <c r="J124" s="5"/>
      <c r="K124" s="5"/>
    </row>
    <row r="125" spans="2:11" ht="49.5" x14ac:dyDescent="0.25">
      <c r="B125" s="1046"/>
      <c r="C125" s="92"/>
      <c r="D125" s="45" t="s">
        <v>249</v>
      </c>
      <c r="E125" s="5"/>
      <c r="F125" s="5"/>
      <c r="G125" s="5"/>
      <c r="H125" s="5"/>
      <c r="I125" s="5"/>
      <c r="J125" s="5"/>
      <c r="K125" s="5"/>
    </row>
    <row r="126" spans="2:11" ht="49.5" x14ac:dyDescent="0.25">
      <c r="B126" s="1046"/>
      <c r="C126" s="92"/>
      <c r="D126" s="45" t="s">
        <v>250</v>
      </c>
      <c r="E126" s="5"/>
      <c r="F126" s="5"/>
      <c r="G126" s="5"/>
      <c r="H126" s="5"/>
      <c r="I126" s="5"/>
      <c r="J126" s="5"/>
      <c r="K126" s="5"/>
    </row>
    <row r="127" spans="2:11" ht="50.25" thickBot="1" x14ac:dyDescent="0.3">
      <c r="B127" s="1047"/>
      <c r="C127" s="2"/>
      <c r="D127" s="40" t="s">
        <v>251</v>
      </c>
      <c r="E127" s="5"/>
      <c r="F127" s="5"/>
      <c r="G127" s="5"/>
      <c r="H127" s="5"/>
      <c r="I127" s="5"/>
      <c r="J127" s="5"/>
      <c r="K127" s="5"/>
    </row>
  </sheetData>
  <sheetProtection insertRows="0"/>
  <mergeCells count="29">
    <mergeCell ref="B93:B127"/>
    <mergeCell ref="B66:B72"/>
    <mergeCell ref="B74:F74"/>
    <mergeCell ref="B10:D10"/>
    <mergeCell ref="F10:S10"/>
    <mergeCell ref="F11:S11"/>
    <mergeCell ref="E12:R12"/>
    <mergeCell ref="E13:R13"/>
    <mergeCell ref="D52:K52"/>
    <mergeCell ref="B15:B26"/>
    <mergeCell ref="B81:D81"/>
    <mergeCell ref="B83:B89"/>
    <mergeCell ref="B91:B92"/>
    <mergeCell ref="D15:K15"/>
    <mergeCell ref="D16:K16"/>
    <mergeCell ref="D28:K28"/>
    <mergeCell ref="B79:J80"/>
    <mergeCell ref="B57:B63"/>
    <mergeCell ref="B65:E65"/>
    <mergeCell ref="D29:K29"/>
    <mergeCell ref="D30:K30"/>
    <mergeCell ref="D53:K53"/>
    <mergeCell ref="D54:K54"/>
    <mergeCell ref="B56:E56"/>
    <mergeCell ref="A1:P1"/>
    <mergeCell ref="A2:P2"/>
    <mergeCell ref="A3:P3"/>
    <mergeCell ref="A4:D4"/>
    <mergeCell ref="A5:P5"/>
  </mergeCells>
  <conditionalFormatting sqref="F10">
    <cfRule type="notContainsBlanks" dxfId="108" priority="5">
      <formula>LEN(TRIM(F10))&gt;0</formula>
    </cfRule>
  </conditionalFormatting>
  <conditionalFormatting sqref="F11:S11">
    <cfRule type="expression" dxfId="107" priority="3">
      <formula>E11="NO SE REPORTA"</formula>
    </cfRule>
    <cfRule type="expression" dxfId="106" priority="4">
      <formula>E10="NO APLICA"</formula>
    </cfRule>
  </conditionalFormatting>
  <conditionalFormatting sqref="E12:R12">
    <cfRule type="expression" dxfId="105"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8:H23">
      <formula1>0</formula1>
    </dataValidation>
    <dataValidation type="whole" operator="greaterThanOrEqual" allowBlank="1" showInputMessage="1" showErrorMessage="1" errorTitle="ERROR" error="Valor en PESOS (sin centavos)" sqref="F32:I50">
      <formula1>0</formula1>
    </dataValidation>
    <dataValidation type="textLength" allowBlank="1" showInputMessage="1" showErrorMessage="1" errorTitle="ERROR" error="Escriba POMCA, PMM o PMA" promptTitle="ESCRIBA" prompt="POMCA, PMA o PMM" sqref="E32:E50">
      <formula1>1</formula1>
      <formula2>5</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61" r:id="rId1"/>
  </hyperlinks>
  <pageMargins left="0.25" right="0.25" top="0.75" bottom="0.75" header="0.3" footer="0.3"/>
  <pageSetup paperSize="178" orientation="landscape"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1"/>
  <sheetViews>
    <sheetView showGridLines="0" zoomScale="98" zoomScaleNormal="98" workbookViewId="0">
      <selection activeCell="F23" sqref="F23:F24"/>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6" max="6" width="13" customWidth="1"/>
    <col min="7" max="7" width="11.28515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280</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INFORMACION",+G19))</f>
        <v>0.9</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31.9"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1907</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6" customHeight="1" thickTop="1" thickBot="1" x14ac:dyDescent="0.3">
      <c r="B15" s="1090" t="s">
        <v>2</v>
      </c>
      <c r="C15" s="87"/>
      <c r="D15" s="1048" t="s">
        <v>3</v>
      </c>
      <c r="E15" s="1049"/>
      <c r="F15" s="1049"/>
      <c r="G15" s="1049"/>
      <c r="H15" s="1049"/>
      <c r="I15" s="1050"/>
      <c r="J15" s="5"/>
      <c r="K15" s="5"/>
    </row>
    <row r="16" spans="1:21" ht="15.75" thickBot="1" x14ac:dyDescent="0.3">
      <c r="B16" s="1064"/>
      <c r="C16" s="92"/>
      <c r="D16" s="42" t="s">
        <v>150</v>
      </c>
      <c r="E16" s="38" t="s">
        <v>20</v>
      </c>
      <c r="F16" s="38" t="s">
        <v>21</v>
      </c>
      <c r="G16" s="38" t="s">
        <v>22</v>
      </c>
      <c r="H16" s="38" t="s">
        <v>23</v>
      </c>
      <c r="I16" s="254"/>
      <c r="J16" s="5"/>
      <c r="K16" s="5"/>
    </row>
    <row r="17" spans="2:11" ht="60.75" thickBot="1" x14ac:dyDescent="0.3">
      <c r="B17" s="1064"/>
      <c r="C17" s="92"/>
      <c r="D17" s="255" t="s">
        <v>305</v>
      </c>
      <c r="E17" s="204">
        <v>10</v>
      </c>
      <c r="F17" s="204">
        <v>10</v>
      </c>
      <c r="G17" s="204">
        <v>10</v>
      </c>
      <c r="H17" s="204"/>
      <c r="I17" s="252"/>
      <c r="J17" s="5"/>
      <c r="K17" s="5"/>
    </row>
    <row r="18" spans="2:11" ht="60.75" thickBot="1" x14ac:dyDescent="0.3">
      <c r="B18" s="1064"/>
      <c r="C18" s="92"/>
      <c r="D18" s="255" t="s">
        <v>306</v>
      </c>
      <c r="E18" s="204">
        <v>10</v>
      </c>
      <c r="F18" s="204">
        <v>10</v>
      </c>
      <c r="G18" s="204">
        <v>9</v>
      </c>
      <c r="H18" s="204"/>
      <c r="I18" s="252"/>
      <c r="J18" s="5"/>
      <c r="K18" s="5"/>
    </row>
    <row r="19" spans="2:11" ht="60.75" thickBot="1" x14ac:dyDescent="0.3">
      <c r="B19" s="1064"/>
      <c r="C19" s="92"/>
      <c r="D19" s="255" t="s">
        <v>307</v>
      </c>
      <c r="E19" s="183">
        <f>IFERROR(E18/E17,"N.A.")</f>
        <v>1</v>
      </c>
      <c r="F19" s="183">
        <f>IFERROR(F18/F17,"N.A.")</f>
        <v>1</v>
      </c>
      <c r="G19" s="183">
        <f>IFERROR(G18/G17,"N.A.")</f>
        <v>0.9</v>
      </c>
      <c r="H19" s="183" t="str">
        <f>IFERROR(H18/H17,"N.A.")</f>
        <v>N.A.</v>
      </c>
      <c r="I19" s="235"/>
      <c r="J19" s="5"/>
      <c r="K19" s="5"/>
    </row>
    <row r="20" spans="2:11" ht="15.75" thickBot="1" x14ac:dyDescent="0.3">
      <c r="B20" s="1064"/>
      <c r="C20" s="90"/>
      <c r="D20" s="1036" t="s">
        <v>308</v>
      </c>
      <c r="E20" s="1037"/>
      <c r="F20" s="1037"/>
      <c r="G20" s="1037"/>
      <c r="H20" s="1037"/>
      <c r="I20" s="1038"/>
      <c r="J20" s="5"/>
      <c r="K20" s="5"/>
    </row>
    <row r="21" spans="2:11" ht="21.2" customHeight="1" x14ac:dyDescent="0.25">
      <c r="B21" s="216"/>
      <c r="C21" s="1093" t="s">
        <v>19</v>
      </c>
      <c r="D21" s="1095" t="s">
        <v>309</v>
      </c>
      <c r="E21" s="1091" t="s">
        <v>313</v>
      </c>
      <c r="F21" s="1091" t="s">
        <v>310</v>
      </c>
      <c r="G21" s="1091" t="s">
        <v>55</v>
      </c>
      <c r="I21" s="21"/>
      <c r="J21" s="5"/>
      <c r="K21" s="5"/>
    </row>
    <row r="22" spans="2:11" ht="15.75" thickBot="1" x14ac:dyDescent="0.3">
      <c r="B22" s="216"/>
      <c r="C22" s="1094"/>
      <c r="D22" s="1096"/>
      <c r="E22" s="1092"/>
      <c r="F22" s="1092"/>
      <c r="G22" s="1092"/>
      <c r="I22" s="21"/>
      <c r="J22" s="5"/>
      <c r="K22" s="5"/>
    </row>
    <row r="23" spans="2:11" s="186" customFormat="1" ht="59.1" customHeight="1" thickBot="1" x14ac:dyDescent="0.3">
      <c r="B23" s="215"/>
      <c r="C23" s="8">
        <v>1</v>
      </c>
      <c r="D23" s="29" t="s">
        <v>1797</v>
      </c>
      <c r="E23" s="1097">
        <v>9</v>
      </c>
      <c r="F23" s="1099" t="s">
        <v>2046</v>
      </c>
      <c r="G23" s="1099"/>
      <c r="I23" s="19"/>
      <c r="J23" s="18"/>
      <c r="K23" s="18"/>
    </row>
    <row r="24" spans="2:11" s="186" customFormat="1" ht="87.6" customHeight="1" thickBot="1" x14ac:dyDescent="0.3">
      <c r="B24" s="215"/>
      <c r="C24" s="8">
        <v>2</v>
      </c>
      <c r="D24" s="29" t="s">
        <v>1798</v>
      </c>
      <c r="E24" s="1098"/>
      <c r="F24" s="1100"/>
      <c r="G24" s="1100"/>
      <c r="I24" s="19"/>
      <c r="J24" s="18"/>
      <c r="K24" s="18"/>
    </row>
    <row r="25" spans="2:11" s="186" customFormat="1" ht="15.75" thickBot="1" x14ac:dyDescent="0.3">
      <c r="B25" s="215"/>
      <c r="C25" s="8">
        <v>3</v>
      </c>
      <c r="D25" s="30"/>
      <c r="E25" s="6"/>
      <c r="F25" s="29"/>
      <c r="G25" s="29"/>
      <c r="H25" s="257"/>
      <c r="I25" s="19"/>
      <c r="J25" s="18"/>
      <c r="K25" s="18"/>
    </row>
    <row r="26" spans="2:11" s="186" customFormat="1" ht="15.75" thickBot="1" x14ac:dyDescent="0.3">
      <c r="B26" s="215"/>
      <c r="C26" s="8">
        <v>4</v>
      </c>
      <c r="D26" s="30"/>
      <c r="E26" s="6"/>
      <c r="F26" s="29"/>
      <c r="G26" s="29"/>
      <c r="H26" s="257"/>
      <c r="I26" s="19"/>
      <c r="J26" s="18"/>
      <c r="K26" s="18"/>
    </row>
    <row r="27" spans="2:11" s="186" customFormat="1" ht="15.75" thickBot="1" x14ac:dyDescent="0.3">
      <c r="B27" s="215"/>
      <c r="C27" s="8">
        <v>5</v>
      </c>
      <c r="D27" s="30"/>
      <c r="E27" s="6"/>
      <c r="F27" s="29"/>
      <c r="G27" s="29"/>
      <c r="H27" s="257"/>
      <c r="I27" s="19"/>
      <c r="J27" s="18"/>
      <c r="K27" s="18"/>
    </row>
    <row r="28" spans="2:11" s="186" customFormat="1" ht="15.75" thickBot="1" x14ac:dyDescent="0.3">
      <c r="B28" s="215"/>
      <c r="C28" s="8">
        <v>6</v>
      </c>
      <c r="D28" s="30"/>
      <c r="E28" s="6"/>
      <c r="F28" s="29"/>
      <c r="G28" s="29"/>
      <c r="H28" s="257"/>
      <c r="I28" s="19"/>
      <c r="J28" s="18"/>
      <c r="K28" s="18"/>
    </row>
    <row r="29" spans="2:11" s="186" customFormat="1" ht="15.75" thickBot="1" x14ac:dyDescent="0.3">
      <c r="B29" s="215"/>
      <c r="C29" s="8">
        <v>7</v>
      </c>
      <c r="D29" s="30"/>
      <c r="E29" s="6"/>
      <c r="F29" s="29"/>
      <c r="G29" s="29"/>
      <c r="H29" s="257"/>
      <c r="I29" s="19"/>
      <c r="J29" s="18"/>
      <c r="K29" s="18"/>
    </row>
    <row r="30" spans="2:11" s="186" customFormat="1" ht="15.75" thickBot="1" x14ac:dyDescent="0.3">
      <c r="B30" s="215"/>
      <c r="C30" s="8">
        <v>8</v>
      </c>
      <c r="D30" s="30"/>
      <c r="E30" s="6"/>
      <c r="F30" s="29"/>
      <c r="G30" s="29"/>
      <c r="H30" s="257"/>
      <c r="I30" s="19"/>
      <c r="J30" s="18"/>
      <c r="K30" s="18"/>
    </row>
    <row r="31" spans="2:11" s="186" customFormat="1" ht="15.75" thickBot="1" x14ac:dyDescent="0.3">
      <c r="B31" s="215"/>
      <c r="C31" s="8">
        <v>9</v>
      </c>
      <c r="D31" s="30"/>
      <c r="E31" s="6"/>
      <c r="F31" s="29"/>
      <c r="G31" s="29"/>
      <c r="H31" s="257"/>
      <c r="I31" s="19"/>
      <c r="J31" s="18"/>
      <c r="K31" s="18"/>
    </row>
    <row r="32" spans="2:11" s="186" customFormat="1" ht="15.75" thickBot="1" x14ac:dyDescent="0.3">
      <c r="B32" s="215"/>
      <c r="C32" s="8">
        <v>10</v>
      </c>
      <c r="D32" s="30"/>
      <c r="E32" s="6"/>
      <c r="F32" s="29"/>
      <c r="G32" s="29"/>
      <c r="H32" s="257"/>
      <c r="I32" s="19"/>
      <c r="J32" s="18"/>
      <c r="K32" s="18"/>
    </row>
    <row r="33" spans="2:11" s="186" customFormat="1" ht="15.75" thickBot="1" x14ac:dyDescent="0.3">
      <c r="B33" s="215"/>
      <c r="C33" s="8">
        <v>11</v>
      </c>
      <c r="D33" s="30"/>
      <c r="E33" s="6"/>
      <c r="F33" s="29"/>
      <c r="G33" s="29"/>
      <c r="H33" s="257"/>
      <c r="I33" s="19"/>
      <c r="J33" s="18"/>
      <c r="K33" s="18"/>
    </row>
    <row r="34" spans="2:11" s="186" customFormat="1" ht="15.75" thickBot="1" x14ac:dyDescent="0.3">
      <c r="B34" s="215"/>
      <c r="C34" s="8">
        <v>12</v>
      </c>
      <c r="D34" s="30"/>
      <c r="E34" s="6"/>
      <c r="F34" s="29"/>
      <c r="G34" s="29"/>
      <c r="H34" s="257"/>
      <c r="I34" s="19"/>
      <c r="J34" s="18"/>
      <c r="K34" s="18"/>
    </row>
    <row r="35" spans="2:11" s="186" customFormat="1" ht="15.75" thickBot="1" x14ac:dyDescent="0.3">
      <c r="B35" s="215"/>
      <c r="C35" s="8">
        <v>13</v>
      </c>
      <c r="D35" s="30"/>
      <c r="E35" s="6"/>
      <c r="F35" s="29"/>
      <c r="G35" s="29"/>
      <c r="H35" s="257"/>
      <c r="I35" s="19"/>
      <c r="J35" s="18"/>
      <c r="K35" s="18"/>
    </row>
    <row r="36" spans="2:11" s="186" customFormat="1" ht="15.75" thickBot="1" x14ac:dyDescent="0.3">
      <c r="B36" s="215"/>
      <c r="C36" s="8">
        <v>14</v>
      </c>
      <c r="D36" s="30"/>
      <c r="E36" s="6"/>
      <c r="F36" s="29"/>
      <c r="G36" s="29"/>
      <c r="H36" s="257"/>
      <c r="I36" s="19"/>
      <c r="J36" s="18"/>
      <c r="K36" s="18"/>
    </row>
    <row r="37" spans="2:11" s="186" customFormat="1" ht="15.75" thickBot="1" x14ac:dyDescent="0.3">
      <c r="B37" s="215"/>
      <c r="C37" s="8">
        <v>15</v>
      </c>
      <c r="D37" s="30"/>
      <c r="E37" s="6"/>
      <c r="F37" s="29"/>
      <c r="G37" s="29"/>
      <c r="H37" s="257"/>
      <c r="I37" s="19"/>
      <c r="J37" s="18"/>
      <c r="K37" s="18"/>
    </row>
    <row r="38" spans="2:11" s="186" customFormat="1" ht="15.75" thickBot="1" x14ac:dyDescent="0.3">
      <c r="B38" s="215"/>
      <c r="C38" s="8">
        <v>16</v>
      </c>
      <c r="D38" s="30"/>
      <c r="E38" s="6"/>
      <c r="F38" s="29"/>
      <c r="G38" s="29"/>
      <c r="H38" s="257"/>
      <c r="I38" s="19"/>
      <c r="J38" s="18"/>
      <c r="K38" s="18"/>
    </row>
    <row r="39" spans="2:11" s="186" customFormat="1" ht="15.75" thickBot="1" x14ac:dyDescent="0.3">
      <c r="B39" s="215"/>
      <c r="C39" s="8">
        <v>17</v>
      </c>
      <c r="D39" s="30"/>
      <c r="E39" s="6"/>
      <c r="F39" s="29"/>
      <c r="G39" s="29"/>
      <c r="H39" s="257"/>
      <c r="I39" s="19"/>
      <c r="J39" s="18"/>
      <c r="K39" s="18"/>
    </row>
    <row r="40" spans="2:11" s="186" customFormat="1" ht="15.75" thickBot="1" x14ac:dyDescent="0.3">
      <c r="B40" s="215"/>
      <c r="C40" s="8">
        <v>18</v>
      </c>
      <c r="D40" s="30"/>
      <c r="E40" s="6"/>
      <c r="F40" s="29"/>
      <c r="G40" s="29"/>
      <c r="H40" s="257"/>
      <c r="I40" s="19"/>
      <c r="J40" s="18"/>
      <c r="K40" s="18"/>
    </row>
    <row r="41" spans="2:11" s="186" customFormat="1" ht="15.75" thickBot="1" x14ac:dyDescent="0.3">
      <c r="B41" s="215"/>
      <c r="C41" s="8">
        <v>19</v>
      </c>
      <c r="D41" s="30"/>
      <c r="E41" s="6"/>
      <c r="F41" s="29"/>
      <c r="G41" s="29"/>
      <c r="I41" s="19"/>
      <c r="J41" s="18"/>
      <c r="K41" s="18"/>
    </row>
    <row r="42" spans="2:11" s="186" customFormat="1" ht="15.75" thickBot="1" x14ac:dyDescent="0.3">
      <c r="B42" s="177"/>
      <c r="C42" s="8">
        <v>20</v>
      </c>
      <c r="D42" s="30"/>
      <c r="E42" s="6"/>
      <c r="F42" s="29"/>
      <c r="G42" s="29"/>
      <c r="I42" s="189"/>
      <c r="J42" s="18"/>
      <c r="K42" s="18"/>
    </row>
    <row r="43" spans="2:11" ht="36" customHeight="1" thickBot="1" x14ac:dyDescent="0.3">
      <c r="B43" s="46" t="s">
        <v>34</v>
      </c>
      <c r="C43" s="91"/>
      <c r="D43" s="1048" t="s">
        <v>311</v>
      </c>
      <c r="E43" s="1049"/>
      <c r="F43" s="1049"/>
      <c r="G43" s="1049"/>
      <c r="H43" s="1049"/>
      <c r="I43" s="1050"/>
      <c r="J43" s="5"/>
      <c r="K43" s="5"/>
    </row>
    <row r="44" spans="2:11" ht="24.75" thickBot="1" x14ac:dyDescent="0.3">
      <c r="B44" s="46" t="s">
        <v>36</v>
      </c>
      <c r="C44" s="91"/>
      <c r="D44" s="1048" t="s">
        <v>278</v>
      </c>
      <c r="E44" s="1049"/>
      <c r="F44" s="1049"/>
      <c r="G44" s="1049"/>
      <c r="H44" s="1049"/>
      <c r="I44" s="1050"/>
      <c r="J44" s="5"/>
      <c r="K44" s="5"/>
    </row>
    <row r="45" spans="2:11" ht="15.75" thickBot="1" x14ac:dyDescent="0.3">
      <c r="B45" s="1"/>
      <c r="C45" s="74"/>
      <c r="D45" s="5"/>
      <c r="E45" s="5"/>
      <c r="F45" s="5"/>
      <c r="G45" s="5"/>
      <c r="H45" s="5"/>
      <c r="I45" s="5"/>
      <c r="J45" s="5"/>
      <c r="K45" s="5"/>
    </row>
    <row r="46" spans="2:11" ht="24" customHeight="1" thickBot="1" x14ac:dyDescent="0.3">
      <c r="B46" s="1054" t="s">
        <v>38</v>
      </c>
      <c r="C46" s="1055"/>
      <c r="D46" s="1055"/>
      <c r="E46" s="1056"/>
      <c r="F46" s="5"/>
      <c r="G46" s="5"/>
      <c r="H46" s="5"/>
      <c r="I46" s="5"/>
      <c r="J46" s="5"/>
      <c r="K46" s="5"/>
    </row>
    <row r="47" spans="2:11" ht="15.75" thickBot="1" x14ac:dyDescent="0.3">
      <c r="B47" s="1045">
        <v>1</v>
      </c>
      <c r="C47" s="92"/>
      <c r="D47" s="47" t="s">
        <v>39</v>
      </c>
      <c r="E47" s="30" t="s">
        <v>1771</v>
      </c>
      <c r="F47" s="5"/>
      <c r="G47" s="5"/>
      <c r="H47" s="5"/>
      <c r="I47" s="5"/>
      <c r="J47" s="5"/>
      <c r="K47" s="5"/>
    </row>
    <row r="48" spans="2:11" ht="15.75" thickBot="1" x14ac:dyDescent="0.3">
      <c r="B48" s="1046"/>
      <c r="C48" s="92"/>
      <c r="D48" s="40" t="s">
        <v>40</v>
      </c>
      <c r="E48" s="30" t="s">
        <v>1772</v>
      </c>
      <c r="F48" s="5"/>
      <c r="G48" s="5"/>
      <c r="H48" s="5"/>
      <c r="I48" s="5"/>
      <c r="J48" s="5"/>
      <c r="K48" s="5"/>
    </row>
    <row r="49" spans="2:11" ht="15.75" thickBot="1" x14ac:dyDescent="0.3">
      <c r="B49" s="1046"/>
      <c r="C49" s="92"/>
      <c r="D49" s="40" t="s">
        <v>41</v>
      </c>
      <c r="E49" s="30" t="s">
        <v>1780</v>
      </c>
      <c r="F49" s="5"/>
      <c r="G49" s="5"/>
      <c r="H49" s="5"/>
      <c r="I49" s="5"/>
      <c r="J49" s="5"/>
      <c r="K49" s="5"/>
    </row>
    <row r="50" spans="2:11" ht="15.75" thickBot="1" x14ac:dyDescent="0.3">
      <c r="B50" s="1046"/>
      <c r="C50" s="92"/>
      <c r="D50" s="40" t="s">
        <v>42</v>
      </c>
      <c r="E50" s="30" t="s">
        <v>1494</v>
      </c>
      <c r="F50" s="5"/>
      <c r="G50" s="5"/>
      <c r="H50" s="5"/>
      <c r="I50" s="5"/>
      <c r="J50" s="5"/>
      <c r="K50" s="5"/>
    </row>
    <row r="51" spans="2:11" ht="15.75" thickBot="1" x14ac:dyDescent="0.3">
      <c r="B51" s="1046"/>
      <c r="C51" s="92"/>
      <c r="D51" s="40" t="s">
        <v>43</v>
      </c>
      <c r="E51" s="30" t="s">
        <v>1781</v>
      </c>
      <c r="F51" s="5"/>
      <c r="G51" s="5"/>
      <c r="H51" s="5"/>
      <c r="I51" s="5"/>
      <c r="J51" s="5"/>
      <c r="K51" s="5"/>
    </row>
    <row r="52" spans="2:11" ht="15.75" thickBot="1" x14ac:dyDescent="0.3">
      <c r="B52" s="1046"/>
      <c r="C52" s="92"/>
      <c r="D52" s="40" t="s">
        <v>44</v>
      </c>
      <c r="E52" s="30">
        <v>4380200</v>
      </c>
      <c r="F52" s="5"/>
      <c r="G52" s="5"/>
      <c r="H52" s="5"/>
      <c r="I52" s="5"/>
      <c r="J52" s="5"/>
      <c r="K52" s="5"/>
    </row>
    <row r="53" spans="2:11" ht="15.75" thickBot="1" x14ac:dyDescent="0.3">
      <c r="B53" s="1047"/>
      <c r="C53" s="2"/>
      <c r="D53" s="40" t="s">
        <v>45</v>
      </c>
      <c r="E53" s="30" t="s">
        <v>1773</v>
      </c>
      <c r="F53" s="5"/>
      <c r="G53" s="5"/>
      <c r="H53" s="5"/>
      <c r="I53" s="5"/>
      <c r="J53" s="5"/>
      <c r="K53" s="5"/>
    </row>
    <row r="54" spans="2:11" ht="15.75" thickBot="1" x14ac:dyDescent="0.3">
      <c r="B54" s="1"/>
      <c r="C54" s="74"/>
      <c r="D54" s="5"/>
      <c r="E54" s="5"/>
      <c r="F54" s="5"/>
      <c r="G54" s="5"/>
      <c r="H54" s="5"/>
      <c r="I54" s="5"/>
      <c r="J54" s="5"/>
      <c r="K54" s="5"/>
    </row>
    <row r="55" spans="2:11" ht="15.75" thickBot="1" x14ac:dyDescent="0.3">
      <c r="B55" s="1054" t="s">
        <v>46</v>
      </c>
      <c r="C55" s="1055"/>
      <c r="D55" s="1055"/>
      <c r="E55" s="1056"/>
      <c r="F55" s="5"/>
      <c r="G55" s="5"/>
      <c r="H55" s="5"/>
      <c r="I55" s="5"/>
      <c r="J55" s="5"/>
      <c r="K55" s="5"/>
    </row>
    <row r="56" spans="2:11" ht="15.75" thickBot="1" x14ac:dyDescent="0.3">
      <c r="B56" s="1045">
        <v>1</v>
      </c>
      <c r="C56" s="92"/>
      <c r="D56" s="47" t="s">
        <v>39</v>
      </c>
      <c r="E56" s="217" t="s">
        <v>47</v>
      </c>
      <c r="F56" s="5"/>
      <c r="G56" s="5"/>
      <c r="H56" s="5"/>
      <c r="I56" s="5"/>
      <c r="J56" s="5"/>
      <c r="K56" s="5"/>
    </row>
    <row r="57" spans="2:11" ht="15.75" thickBot="1" x14ac:dyDescent="0.3">
      <c r="B57" s="1046"/>
      <c r="C57" s="92"/>
      <c r="D57" s="40" t="s">
        <v>40</v>
      </c>
      <c r="E57" s="217" t="s">
        <v>48</v>
      </c>
      <c r="F57" s="5"/>
      <c r="G57" s="5"/>
      <c r="H57" s="5"/>
      <c r="I57" s="5"/>
      <c r="J57" s="5"/>
      <c r="K57" s="5"/>
    </row>
    <row r="58" spans="2:11" ht="15.75" thickBot="1" x14ac:dyDescent="0.3">
      <c r="B58" s="1046"/>
      <c r="C58" s="92"/>
      <c r="D58" s="40" t="s">
        <v>41</v>
      </c>
      <c r="E58" s="237"/>
      <c r="F58" s="5"/>
      <c r="G58" s="5"/>
      <c r="H58" s="5"/>
      <c r="I58" s="5"/>
      <c r="J58" s="5"/>
      <c r="K58" s="5"/>
    </row>
    <row r="59" spans="2:11" ht="15.75" thickBot="1" x14ac:dyDescent="0.3">
      <c r="B59" s="1046"/>
      <c r="C59" s="92"/>
      <c r="D59" s="40" t="s">
        <v>42</v>
      </c>
      <c r="E59" s="237"/>
      <c r="F59" s="5"/>
      <c r="G59" s="5"/>
      <c r="H59" s="5"/>
      <c r="I59" s="5"/>
      <c r="J59" s="5"/>
      <c r="K59" s="5"/>
    </row>
    <row r="60" spans="2:11" ht="15.75" thickBot="1" x14ac:dyDescent="0.3">
      <c r="B60" s="1046"/>
      <c r="C60" s="92"/>
      <c r="D60" s="40" t="s">
        <v>43</v>
      </c>
      <c r="E60" s="237"/>
      <c r="F60" s="5"/>
      <c r="G60" s="5"/>
      <c r="H60" s="5"/>
      <c r="I60" s="5"/>
      <c r="J60" s="5"/>
      <c r="K60" s="5"/>
    </row>
    <row r="61" spans="2:11" ht="15.75" thickBot="1" x14ac:dyDescent="0.3">
      <c r="B61" s="1046"/>
      <c r="C61" s="92"/>
      <c r="D61" s="40" t="s">
        <v>44</v>
      </c>
      <c r="E61" s="237"/>
      <c r="F61" s="5"/>
      <c r="G61" s="5"/>
      <c r="H61" s="5"/>
      <c r="I61" s="5"/>
      <c r="J61" s="5"/>
      <c r="K61" s="5"/>
    </row>
    <row r="62" spans="2:11" ht="15.75" thickBot="1" x14ac:dyDescent="0.3">
      <c r="B62" s="1047"/>
      <c r="C62" s="2"/>
      <c r="D62" s="40" t="s">
        <v>45</v>
      </c>
      <c r="E62" s="237"/>
      <c r="F62" s="5"/>
      <c r="G62" s="5"/>
      <c r="H62" s="5"/>
      <c r="I62" s="5"/>
      <c r="J62" s="5"/>
      <c r="K62" s="5"/>
    </row>
    <row r="63" spans="2:11" ht="15.75" thickBot="1" x14ac:dyDescent="0.3">
      <c r="B63" s="1"/>
      <c r="C63" s="74"/>
      <c r="D63" s="5"/>
      <c r="E63" s="5"/>
      <c r="F63" s="5"/>
      <c r="G63" s="5"/>
      <c r="H63" s="5"/>
      <c r="I63" s="5"/>
      <c r="J63" s="5"/>
      <c r="K63" s="5"/>
    </row>
    <row r="64" spans="2:11" ht="15" customHeight="1" thickBot="1" x14ac:dyDescent="0.3">
      <c r="B64" s="117" t="s">
        <v>49</v>
      </c>
      <c r="C64" s="118"/>
      <c r="D64" s="118"/>
      <c r="E64" s="119"/>
      <c r="G64" s="5"/>
      <c r="H64" s="5"/>
      <c r="I64" s="5"/>
      <c r="J64" s="5"/>
      <c r="K64" s="5"/>
    </row>
    <row r="65" spans="2:11" ht="24.75" thickBot="1" x14ac:dyDescent="0.3">
      <c r="B65" s="46" t="s">
        <v>50</v>
      </c>
      <c r="C65" s="40" t="s">
        <v>51</v>
      </c>
      <c r="D65" s="40" t="s">
        <v>52</v>
      </c>
      <c r="E65" s="40" t="s">
        <v>53</v>
      </c>
      <c r="F65" s="5"/>
      <c r="G65" s="5"/>
      <c r="H65" s="5"/>
      <c r="I65" s="5"/>
      <c r="J65" s="5"/>
    </row>
    <row r="66" spans="2:11" ht="96.75" thickBot="1" x14ac:dyDescent="0.3">
      <c r="B66" s="48">
        <v>42401</v>
      </c>
      <c r="C66" s="40">
        <v>0.01</v>
      </c>
      <c r="D66" s="67" t="s">
        <v>312</v>
      </c>
      <c r="E66" s="40"/>
      <c r="F66" s="5"/>
      <c r="G66" s="5"/>
      <c r="H66" s="5"/>
      <c r="I66" s="5"/>
      <c r="J66" s="5"/>
    </row>
    <row r="67" spans="2:11" ht="15.75" thickBot="1" x14ac:dyDescent="0.3">
      <c r="B67" s="3"/>
      <c r="C67" s="93"/>
      <c r="D67" s="5"/>
      <c r="E67" s="5"/>
      <c r="F67" s="5"/>
      <c r="G67" s="5"/>
      <c r="H67" s="5"/>
      <c r="I67" s="5"/>
      <c r="J67" s="5"/>
      <c r="K67" s="5"/>
    </row>
    <row r="68" spans="2:11" x14ac:dyDescent="0.25">
      <c r="B68" s="127" t="s">
        <v>55</v>
      </c>
      <c r="C68" s="94"/>
      <c r="D68" s="5"/>
      <c r="E68" s="5"/>
      <c r="F68" s="5"/>
      <c r="G68" s="5"/>
      <c r="H68" s="5"/>
      <c r="I68" s="5"/>
      <c r="J68" s="5"/>
      <c r="K68" s="5"/>
    </row>
    <row r="69" spans="2:11" x14ac:dyDescent="0.25">
      <c r="B69" s="1072"/>
      <c r="C69" s="1073"/>
      <c r="D69" s="1073"/>
      <c r="E69" s="1074"/>
      <c r="F69" s="5"/>
      <c r="G69" s="5"/>
      <c r="H69" s="5"/>
      <c r="I69" s="5"/>
      <c r="J69" s="5"/>
      <c r="K69" s="5"/>
    </row>
    <row r="70" spans="2:11" ht="15.75" thickBot="1" x14ac:dyDescent="0.3">
      <c r="B70" s="5"/>
      <c r="D70" s="5"/>
      <c r="E70" s="5"/>
      <c r="F70" s="5"/>
      <c r="G70" s="5"/>
      <c r="H70" s="5"/>
      <c r="I70" s="5"/>
      <c r="J70" s="5"/>
      <c r="K70" s="5"/>
    </row>
    <row r="71" spans="2:11" ht="15.75" thickBot="1" x14ac:dyDescent="0.3">
      <c r="B71" s="1054" t="s">
        <v>56</v>
      </c>
      <c r="C71" s="1055"/>
      <c r="D71" s="1056"/>
      <c r="E71" s="5"/>
      <c r="F71" s="5"/>
      <c r="G71" s="5"/>
      <c r="H71" s="5"/>
      <c r="I71" s="5"/>
      <c r="J71" s="5"/>
      <c r="K71" s="5"/>
    </row>
    <row r="72" spans="2:11" ht="120.75" thickBot="1" x14ac:dyDescent="0.3">
      <c r="B72" s="46" t="s">
        <v>57</v>
      </c>
      <c r="C72" s="2"/>
      <c r="D72" s="40" t="s">
        <v>281</v>
      </c>
      <c r="E72" s="5"/>
      <c r="F72" s="5"/>
      <c r="G72" s="5"/>
      <c r="H72" s="5"/>
      <c r="I72" s="5"/>
      <c r="J72" s="5"/>
      <c r="K72" s="5"/>
    </row>
    <row r="73" spans="2:11" x14ac:dyDescent="0.25">
      <c r="B73" s="1045" t="s">
        <v>59</v>
      </c>
      <c r="C73" s="92"/>
      <c r="D73" s="52" t="s">
        <v>60</v>
      </c>
      <c r="E73" s="5"/>
      <c r="F73" s="5"/>
      <c r="G73" s="5"/>
      <c r="H73" s="5"/>
      <c r="I73" s="5"/>
      <c r="J73" s="5"/>
      <c r="K73" s="5"/>
    </row>
    <row r="74" spans="2:11" ht="96" x14ac:dyDescent="0.25">
      <c r="B74" s="1046"/>
      <c r="C74" s="92"/>
      <c r="D74" s="45" t="s">
        <v>282</v>
      </c>
      <c r="E74" s="5"/>
      <c r="F74" s="5"/>
      <c r="G74" s="5"/>
      <c r="H74" s="5"/>
      <c r="I74" s="5"/>
      <c r="J74" s="5"/>
      <c r="K74" s="5"/>
    </row>
    <row r="75" spans="2:11" ht="60" x14ac:dyDescent="0.25">
      <c r="B75" s="1046"/>
      <c r="C75" s="92"/>
      <c r="D75" s="45" t="s">
        <v>283</v>
      </c>
      <c r="E75" s="5"/>
      <c r="F75" s="5"/>
      <c r="G75" s="5"/>
      <c r="H75" s="5"/>
      <c r="I75" s="5"/>
      <c r="J75" s="5"/>
      <c r="K75" s="5"/>
    </row>
    <row r="76" spans="2:11" x14ac:dyDescent="0.25">
      <c r="B76" s="1046"/>
      <c r="C76" s="92"/>
      <c r="D76" s="52" t="s">
        <v>63</v>
      </c>
      <c r="E76" s="5"/>
      <c r="F76" s="5"/>
      <c r="G76" s="5"/>
      <c r="H76" s="5"/>
      <c r="I76" s="5"/>
      <c r="J76" s="5"/>
      <c r="K76" s="5"/>
    </row>
    <row r="77" spans="2:11" ht="24" x14ac:dyDescent="0.25">
      <c r="B77" s="1046"/>
      <c r="C77" s="92"/>
      <c r="D77" s="45" t="s">
        <v>284</v>
      </c>
      <c r="E77" s="5"/>
      <c r="F77" s="5"/>
      <c r="G77" s="5"/>
      <c r="H77" s="5"/>
      <c r="I77" s="5"/>
      <c r="J77" s="5"/>
      <c r="K77" s="5"/>
    </row>
    <row r="78" spans="2:11" ht="48" x14ac:dyDescent="0.25">
      <c r="B78" s="1046"/>
      <c r="C78" s="92"/>
      <c r="D78" s="45" t="s">
        <v>285</v>
      </c>
      <c r="E78" s="5"/>
      <c r="F78" s="5"/>
      <c r="G78" s="5"/>
      <c r="H78" s="5"/>
      <c r="I78" s="5"/>
      <c r="J78" s="5"/>
      <c r="K78" s="5"/>
    </row>
    <row r="79" spans="2:11" x14ac:dyDescent="0.25">
      <c r="B79" s="1046"/>
      <c r="C79" s="92"/>
      <c r="D79" s="45" t="s">
        <v>286</v>
      </c>
      <c r="E79" s="5"/>
      <c r="F79" s="5"/>
      <c r="G79" s="5"/>
      <c r="H79" s="5"/>
      <c r="I79" s="5"/>
      <c r="J79" s="5"/>
      <c r="K79" s="5"/>
    </row>
    <row r="80" spans="2:11" ht="36" x14ac:dyDescent="0.25">
      <c r="B80" s="1046"/>
      <c r="C80" s="92"/>
      <c r="D80" s="45" t="s">
        <v>287</v>
      </c>
      <c r="E80" s="5"/>
      <c r="F80" s="5"/>
      <c r="G80" s="5"/>
      <c r="H80" s="5"/>
      <c r="I80" s="5"/>
      <c r="J80" s="5"/>
      <c r="K80" s="5"/>
    </row>
    <row r="81" spans="2:11" x14ac:dyDescent="0.25">
      <c r="B81" s="1046"/>
      <c r="C81" s="92"/>
      <c r="D81" s="52" t="s">
        <v>288</v>
      </c>
      <c r="E81" s="5"/>
      <c r="F81" s="5"/>
      <c r="G81" s="5"/>
      <c r="H81" s="5"/>
      <c r="I81" s="5"/>
      <c r="J81" s="5"/>
      <c r="K81" s="5"/>
    </row>
    <row r="82" spans="2:11" x14ac:dyDescent="0.25">
      <c r="B82" s="1046"/>
      <c r="C82" s="92"/>
      <c r="D82" s="45" t="s">
        <v>289</v>
      </c>
      <c r="E82" s="5"/>
      <c r="F82" s="5"/>
      <c r="G82" s="5"/>
      <c r="H82" s="5"/>
      <c r="I82" s="5"/>
      <c r="J82" s="5"/>
      <c r="K82" s="5"/>
    </row>
    <row r="83" spans="2:11" ht="36" x14ac:dyDescent="0.25">
      <c r="B83" s="1046"/>
      <c r="C83" s="92"/>
      <c r="D83" s="45" t="s">
        <v>290</v>
      </c>
      <c r="E83" s="5"/>
      <c r="F83" s="5"/>
      <c r="G83" s="5"/>
      <c r="H83" s="5"/>
      <c r="I83" s="5"/>
      <c r="J83" s="5"/>
      <c r="K83" s="5"/>
    </row>
    <row r="84" spans="2:11" ht="45.75" thickBot="1" x14ac:dyDescent="0.3">
      <c r="B84" s="1047"/>
      <c r="C84" s="2"/>
      <c r="D84" s="256" t="s">
        <v>291</v>
      </c>
      <c r="E84" s="5"/>
      <c r="F84" s="5"/>
      <c r="G84" s="5"/>
      <c r="H84" s="5"/>
      <c r="I84" s="5"/>
      <c r="J84" s="5"/>
      <c r="K84" s="5"/>
    </row>
    <row r="85" spans="2:11" ht="24.75" thickBot="1" x14ac:dyDescent="0.3">
      <c r="B85" s="46" t="s">
        <v>72</v>
      </c>
      <c r="C85" s="2"/>
      <c r="D85" s="40"/>
      <c r="E85" s="5"/>
      <c r="F85" s="5"/>
      <c r="G85" s="5"/>
      <c r="H85" s="5"/>
      <c r="I85" s="5"/>
      <c r="J85" s="5"/>
      <c r="K85" s="5"/>
    </row>
    <row r="86" spans="2:11" ht="228" x14ac:dyDescent="0.25">
      <c r="B86" s="1045" t="s">
        <v>73</v>
      </c>
      <c r="C86" s="92"/>
      <c r="D86" s="45" t="s">
        <v>292</v>
      </c>
      <c r="E86" s="5"/>
      <c r="F86" s="5"/>
      <c r="G86" s="5"/>
      <c r="H86" s="5"/>
      <c r="I86" s="5"/>
      <c r="J86" s="5"/>
      <c r="K86" s="5"/>
    </row>
    <row r="87" spans="2:11" ht="180" x14ac:dyDescent="0.25">
      <c r="B87" s="1046"/>
      <c r="C87" s="92"/>
      <c r="D87" s="45" t="s">
        <v>293</v>
      </c>
      <c r="E87" s="5"/>
      <c r="F87" s="5"/>
      <c r="G87" s="5"/>
      <c r="H87" s="5"/>
      <c r="I87" s="5"/>
      <c r="J87" s="5"/>
      <c r="K87" s="5"/>
    </row>
    <row r="88" spans="2:11" ht="72" x14ac:dyDescent="0.25">
      <c r="B88" s="1046"/>
      <c r="C88" s="92"/>
      <c r="D88" s="45" t="s">
        <v>294</v>
      </c>
      <c r="E88" s="5"/>
      <c r="F88" s="5"/>
      <c r="G88" s="5"/>
      <c r="H88" s="5"/>
      <c r="I88" s="5"/>
      <c r="J88" s="5"/>
      <c r="K88" s="5"/>
    </row>
    <row r="89" spans="2:11" ht="24" x14ac:dyDescent="0.25">
      <c r="B89" s="1046"/>
      <c r="C89" s="92"/>
      <c r="D89" s="45" t="s">
        <v>295</v>
      </c>
      <c r="E89" s="5"/>
      <c r="F89" s="5"/>
      <c r="G89" s="5"/>
      <c r="H89" s="5"/>
      <c r="I89" s="5"/>
      <c r="J89" s="5"/>
      <c r="K89" s="5"/>
    </row>
    <row r="90" spans="2:11" ht="72" x14ac:dyDescent="0.25">
      <c r="B90" s="1046"/>
      <c r="C90" s="92"/>
      <c r="D90" s="60" t="s">
        <v>296</v>
      </c>
      <c r="E90" s="5"/>
      <c r="F90" s="5"/>
      <c r="G90" s="5"/>
      <c r="H90" s="5"/>
      <c r="I90" s="5"/>
      <c r="J90" s="5"/>
      <c r="K90" s="5"/>
    </row>
    <row r="91" spans="2:11" ht="84" x14ac:dyDescent="0.25">
      <c r="B91" s="1046"/>
      <c r="C91" s="92"/>
      <c r="D91" s="60" t="s">
        <v>297</v>
      </c>
      <c r="E91" s="5"/>
      <c r="F91" s="5"/>
      <c r="G91" s="5"/>
      <c r="H91" s="5"/>
      <c r="I91" s="5"/>
      <c r="J91" s="5"/>
      <c r="K91" s="5"/>
    </row>
    <row r="92" spans="2:11" ht="36" x14ac:dyDescent="0.25">
      <c r="B92" s="1046"/>
      <c r="C92" s="92"/>
      <c r="D92" s="60" t="s">
        <v>298</v>
      </c>
      <c r="E92" s="5"/>
      <c r="F92" s="5"/>
      <c r="G92" s="5"/>
      <c r="H92" s="5"/>
      <c r="I92" s="5"/>
      <c r="J92" s="5"/>
      <c r="K92" s="5"/>
    </row>
    <row r="93" spans="2:11" ht="36" x14ac:dyDescent="0.25">
      <c r="B93" s="1046"/>
      <c r="C93" s="92"/>
      <c r="D93" s="60" t="s">
        <v>299</v>
      </c>
      <c r="E93" s="5"/>
      <c r="F93" s="5"/>
      <c r="G93" s="5"/>
      <c r="H93" s="5"/>
      <c r="I93" s="5"/>
      <c r="J93" s="5"/>
      <c r="K93" s="5"/>
    </row>
    <row r="94" spans="2:11" ht="48" x14ac:dyDescent="0.25">
      <c r="B94" s="1046"/>
      <c r="C94" s="92"/>
      <c r="D94" s="60" t="s">
        <v>300</v>
      </c>
      <c r="E94" s="5"/>
      <c r="F94" s="5"/>
      <c r="G94" s="5"/>
      <c r="H94" s="5"/>
      <c r="I94" s="5"/>
      <c r="J94" s="5"/>
      <c r="K94" s="5"/>
    </row>
    <row r="95" spans="2:11" ht="60.75" thickBot="1" x14ac:dyDescent="0.3">
      <c r="B95" s="1047"/>
      <c r="C95" s="2"/>
      <c r="D95" s="61" t="s">
        <v>301</v>
      </c>
      <c r="E95" s="5"/>
      <c r="F95" s="5"/>
      <c r="G95" s="5"/>
      <c r="H95" s="5"/>
      <c r="I95" s="5"/>
      <c r="J95" s="5"/>
      <c r="K95" s="5"/>
    </row>
    <row r="96" spans="2:11" x14ac:dyDescent="0.25">
      <c r="B96" s="1045" t="s">
        <v>90</v>
      </c>
      <c r="C96" s="92"/>
      <c r="D96" s="45"/>
      <c r="E96" s="5"/>
      <c r="F96" s="5"/>
      <c r="G96" s="5"/>
      <c r="H96" s="5"/>
      <c r="I96" s="5"/>
      <c r="J96" s="5"/>
      <c r="K96" s="5"/>
    </row>
    <row r="97" spans="2:11" x14ac:dyDescent="0.25">
      <c r="B97" s="1046"/>
      <c r="C97" s="92"/>
      <c r="D97" s="16"/>
      <c r="E97" s="5"/>
      <c r="F97" s="5"/>
      <c r="G97" s="5"/>
      <c r="H97" s="5"/>
      <c r="I97" s="5"/>
      <c r="J97" s="5"/>
      <c r="K97" s="5"/>
    </row>
    <row r="98" spans="2:11" x14ac:dyDescent="0.25">
      <c r="B98" s="1046"/>
      <c r="C98" s="92"/>
      <c r="D98" s="45" t="s">
        <v>91</v>
      </c>
      <c r="E98" s="5"/>
      <c r="F98" s="5"/>
      <c r="G98" s="5"/>
      <c r="H98" s="5"/>
      <c r="I98" s="5"/>
      <c r="J98" s="5"/>
      <c r="K98" s="5"/>
    </row>
    <row r="99" spans="2:11" ht="61.5" x14ac:dyDescent="0.25">
      <c r="B99" s="1046"/>
      <c r="C99" s="92"/>
      <c r="D99" s="45" t="s">
        <v>302</v>
      </c>
      <c r="E99" s="5"/>
      <c r="F99" s="5"/>
      <c r="G99" s="5"/>
      <c r="H99" s="5"/>
      <c r="I99" s="5"/>
      <c r="J99" s="5"/>
      <c r="K99" s="5"/>
    </row>
    <row r="100" spans="2:11" ht="61.5" x14ac:dyDescent="0.25">
      <c r="B100" s="1046"/>
      <c r="C100" s="92"/>
      <c r="D100" s="45" t="s">
        <v>303</v>
      </c>
      <c r="E100" s="5"/>
      <c r="F100" s="5"/>
      <c r="G100" s="5"/>
      <c r="H100" s="5"/>
      <c r="I100" s="5"/>
      <c r="J100" s="5"/>
      <c r="K100" s="5"/>
    </row>
    <row r="101" spans="2:11" ht="62.25" thickBot="1" x14ac:dyDescent="0.3">
      <c r="B101" s="1047"/>
      <c r="C101" s="2"/>
      <c r="D101" s="40" t="s">
        <v>304</v>
      </c>
      <c r="E101" s="5"/>
      <c r="F101" s="5"/>
      <c r="G101" s="5"/>
      <c r="H101" s="5"/>
      <c r="I101" s="5"/>
      <c r="J101" s="5"/>
      <c r="K101" s="5"/>
    </row>
  </sheetData>
  <mergeCells count="32">
    <mergeCell ref="B10:D10"/>
    <mergeCell ref="F10:S10"/>
    <mergeCell ref="F11:S11"/>
    <mergeCell ref="E12:R12"/>
    <mergeCell ref="E13:R13"/>
    <mergeCell ref="B71:D71"/>
    <mergeCell ref="B73:B84"/>
    <mergeCell ref="B86:B95"/>
    <mergeCell ref="B96:B101"/>
    <mergeCell ref="C21:C22"/>
    <mergeCell ref="D21:D22"/>
    <mergeCell ref="B56:B62"/>
    <mergeCell ref="B69:E69"/>
    <mergeCell ref="D44:I44"/>
    <mergeCell ref="B46:E46"/>
    <mergeCell ref="B47:B53"/>
    <mergeCell ref="B55:E55"/>
    <mergeCell ref="E23:E24"/>
    <mergeCell ref="F23:F24"/>
    <mergeCell ref="G23:G24"/>
    <mergeCell ref="D15:I15"/>
    <mergeCell ref="D20:I20"/>
    <mergeCell ref="D43:I43"/>
    <mergeCell ref="E21:E22"/>
    <mergeCell ref="B15:B20"/>
    <mergeCell ref="F21:F22"/>
    <mergeCell ref="G21:G22"/>
    <mergeCell ref="A1:P1"/>
    <mergeCell ref="A2:P2"/>
    <mergeCell ref="A3:P3"/>
    <mergeCell ref="A4:D4"/>
    <mergeCell ref="A5:P5"/>
  </mergeCells>
  <conditionalFormatting sqref="F10">
    <cfRule type="notContainsBlanks" dxfId="104" priority="4">
      <formula>LEN(TRIM(F10))&gt;0</formula>
    </cfRule>
  </conditionalFormatting>
  <conditionalFormatting sqref="F11:S11">
    <cfRule type="expression" dxfId="103" priority="2">
      <formula>E11="NO SE REPORTA"</formula>
    </cfRule>
    <cfRule type="expression" dxfId="102" priority="3">
      <formula>E10="NO APLICA"</formula>
    </cfRule>
  </conditionalFormatting>
  <conditionalFormatting sqref="E12:R12">
    <cfRule type="expression" dxfId="101"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 E25:E42">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D84" r:id="rId1" display="http://cambioclimatico.minambiente.gov.co/"/>
    <hyperlink ref="B9" location="'ANEXO 3'!A1" display="VOLVER AL INDICE"/>
  </hyperlinks>
  <pageMargins left="0.25" right="0.25" top="0.75" bottom="0.75" header="0.3" footer="0.3"/>
  <pageSetup paperSize="178" orientation="landscape"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
  <sheetViews>
    <sheetView showGridLines="0" zoomScale="98" zoomScaleNormal="98" workbookViewId="0">
      <selection activeCell="E13" sqref="E13:R13"/>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7" max="7" width="11.85546875" bestFit="1" customWidth="1"/>
    <col min="8" max="8" width="12.28515625" customWidth="1"/>
    <col min="9" max="10" width="11.85546875" bestFit="1" customWidth="1"/>
    <col min="11" max="11" width="13.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314</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INFORMACION",+G19))</f>
        <v>1</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31.1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1900</v>
      </c>
      <c r="F12" s="1018"/>
      <c r="G12" s="1018"/>
      <c r="H12" s="1018"/>
      <c r="I12" s="1018"/>
      <c r="J12" s="1018"/>
      <c r="K12" s="1018"/>
      <c r="L12" s="1018"/>
      <c r="M12" s="1018"/>
      <c r="N12" s="1018"/>
      <c r="O12" s="1018"/>
      <c r="P12" s="1018"/>
      <c r="Q12" s="1018"/>
      <c r="R12" s="1018"/>
    </row>
    <row r="13" spans="1:21" ht="21.95" customHeight="1" x14ac:dyDescent="0.25">
      <c r="B13" s="363"/>
      <c r="C13" s="86"/>
      <c r="D13" s="169" t="s">
        <v>888</v>
      </c>
      <c r="E13" s="1019" t="s">
        <v>2048</v>
      </c>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6" customHeight="1" thickTop="1" thickBot="1" x14ac:dyDescent="0.3">
      <c r="B15" s="1090" t="s">
        <v>2</v>
      </c>
      <c r="C15" s="87"/>
      <c r="D15" s="1036" t="s">
        <v>336</v>
      </c>
      <c r="E15" s="1037"/>
      <c r="F15" s="1037"/>
      <c r="G15" s="1037"/>
      <c r="H15" s="1037"/>
      <c r="I15" s="1037"/>
      <c r="J15" s="1037"/>
      <c r="K15" s="1038"/>
    </row>
    <row r="16" spans="1:21" ht="15.75" thickBot="1" x14ac:dyDescent="0.3">
      <c r="A16" s="186"/>
      <c r="B16" s="1064"/>
      <c r="C16" s="96" t="s">
        <v>19</v>
      </c>
      <c r="D16" s="42" t="s">
        <v>1200</v>
      </c>
      <c r="E16" s="42" t="s">
        <v>20</v>
      </c>
      <c r="F16" s="42" t="s">
        <v>21</v>
      </c>
      <c r="G16" s="42" t="s">
        <v>22</v>
      </c>
      <c r="H16" s="42" t="s">
        <v>23</v>
      </c>
      <c r="I16" s="178"/>
      <c r="J16" s="186"/>
      <c r="K16" s="21"/>
    </row>
    <row r="17" spans="2:11" ht="24.75" thickBot="1" x14ac:dyDescent="0.3">
      <c r="B17" s="1064"/>
      <c r="C17" s="2" t="s">
        <v>152</v>
      </c>
      <c r="D17" s="40" t="s">
        <v>337</v>
      </c>
      <c r="E17" s="205">
        <v>45</v>
      </c>
      <c r="F17" s="205">
        <v>39</v>
      </c>
      <c r="G17" s="205">
        <v>40</v>
      </c>
      <c r="H17" s="205">
        <v>41</v>
      </c>
      <c r="I17" s="187"/>
      <c r="J17" s="186"/>
      <c r="K17" s="21"/>
    </row>
    <row r="18" spans="2:11" ht="24.75" thickBot="1" x14ac:dyDescent="0.3">
      <c r="B18" s="1064"/>
      <c r="C18" s="2" t="s">
        <v>154</v>
      </c>
      <c r="D18" s="40" t="s">
        <v>338</v>
      </c>
      <c r="E18" s="205">
        <v>0</v>
      </c>
      <c r="F18" s="205">
        <v>39</v>
      </c>
      <c r="G18" s="205">
        <v>40</v>
      </c>
      <c r="H18" s="205"/>
      <c r="I18" s="187"/>
      <c r="J18" s="186"/>
      <c r="K18" s="21"/>
    </row>
    <row r="19" spans="2:11" ht="24.75" thickBot="1" x14ac:dyDescent="0.3">
      <c r="B19" s="1064"/>
      <c r="C19" s="2" t="s">
        <v>156</v>
      </c>
      <c r="D19" s="40" t="s">
        <v>339</v>
      </c>
      <c r="E19" s="183">
        <f>IFERROR(E18/E17,"N.A.")</f>
        <v>0</v>
      </c>
      <c r="F19" s="183">
        <f>IFERROR(F18/F17,"N.A.")</f>
        <v>1</v>
      </c>
      <c r="G19" s="183">
        <f>IFERROR(G18/G17,"N.A.")</f>
        <v>1</v>
      </c>
      <c r="H19" s="183">
        <f>IFERROR(H18/H17,"N.A.")</f>
        <v>0</v>
      </c>
      <c r="I19" s="183"/>
      <c r="K19" s="21"/>
    </row>
    <row r="20" spans="2:11" x14ac:dyDescent="0.25">
      <c r="B20" s="216"/>
      <c r="C20" s="90"/>
      <c r="D20" s="1101" t="s">
        <v>1199</v>
      </c>
      <c r="E20" s="1102"/>
      <c r="F20" s="1102"/>
      <c r="G20" s="1102"/>
      <c r="H20" s="1102"/>
      <c r="I20" s="1102"/>
      <c r="J20" s="1102"/>
      <c r="K20" s="1103"/>
    </row>
    <row r="21" spans="2:11" x14ac:dyDescent="0.25">
      <c r="B21" s="216"/>
      <c r="C21" s="90"/>
      <c r="D21" s="1039" t="s">
        <v>246</v>
      </c>
      <c r="E21" s="1040"/>
      <c r="F21" s="1040"/>
      <c r="G21" s="1040"/>
      <c r="H21" s="1040"/>
      <c r="I21" s="1040"/>
      <c r="J21" s="1040"/>
      <c r="K21" s="1041"/>
    </row>
    <row r="22" spans="2:11" x14ac:dyDescent="0.25">
      <c r="B22" s="216"/>
      <c r="C22" s="90"/>
      <c r="D22" s="1039" t="s">
        <v>333</v>
      </c>
      <c r="E22" s="1040"/>
      <c r="F22" s="1040"/>
      <c r="G22" s="1040"/>
      <c r="H22" s="1040"/>
      <c r="I22" s="1040"/>
      <c r="J22" s="1040"/>
      <c r="K22" s="1041"/>
    </row>
    <row r="23" spans="2:11" ht="15.75" thickBot="1" x14ac:dyDescent="0.3">
      <c r="B23" s="216"/>
      <c r="C23" s="90"/>
      <c r="D23" s="1051" t="s">
        <v>340</v>
      </c>
      <c r="E23" s="1052"/>
      <c r="F23" s="1052"/>
      <c r="G23" s="1052"/>
      <c r="H23" s="1052"/>
      <c r="I23" s="1052"/>
      <c r="J23" s="1052"/>
      <c r="K23" s="1053"/>
    </row>
    <row r="24" spans="2:11" ht="36.75" thickBot="1" x14ac:dyDescent="0.3">
      <c r="B24" s="216"/>
      <c r="C24" s="96" t="s">
        <v>19</v>
      </c>
      <c r="D24" s="42" t="s">
        <v>270</v>
      </c>
      <c r="E24" s="42" t="s">
        <v>341</v>
      </c>
      <c r="F24" s="42" t="s">
        <v>342</v>
      </c>
      <c r="G24" s="42" t="s">
        <v>343</v>
      </c>
      <c r="H24" s="42" t="s">
        <v>344</v>
      </c>
      <c r="I24" s="42" t="s">
        <v>274</v>
      </c>
      <c r="J24" s="42" t="s">
        <v>275</v>
      </c>
      <c r="K24" s="42" t="s">
        <v>55</v>
      </c>
    </row>
    <row r="25" spans="2:11" s="186" customFormat="1" ht="44.1" customHeight="1" thickBot="1" x14ac:dyDescent="0.3">
      <c r="B25" s="215"/>
      <c r="C25" s="8">
        <v>1</v>
      </c>
      <c r="D25" s="29" t="s">
        <v>1908</v>
      </c>
      <c r="E25" s="30" t="s">
        <v>1909</v>
      </c>
      <c r="F25" s="205">
        <v>34</v>
      </c>
      <c r="G25" s="205">
        <v>40781172379</v>
      </c>
      <c r="H25" s="205">
        <v>40781172379</v>
      </c>
      <c r="I25" s="205">
        <v>40734120648</v>
      </c>
      <c r="J25" s="205">
        <v>39344272384</v>
      </c>
      <c r="K25" s="184" t="s">
        <v>2049</v>
      </c>
    </row>
    <row r="26" spans="2:11" s="186" customFormat="1" ht="44.85" customHeight="1" thickBot="1" x14ac:dyDescent="0.3">
      <c r="B26" s="215"/>
      <c r="C26" s="8">
        <v>2</v>
      </c>
      <c r="D26" s="29" t="s">
        <v>2047</v>
      </c>
      <c r="E26" s="30" t="s">
        <v>1909</v>
      </c>
      <c r="F26" s="205">
        <v>42</v>
      </c>
      <c r="G26" s="205">
        <v>12900605538</v>
      </c>
      <c r="H26" s="205">
        <v>12900605538</v>
      </c>
      <c r="I26" s="205">
        <v>12900605538</v>
      </c>
      <c r="J26" s="205">
        <v>12754404734</v>
      </c>
      <c r="K26" s="184" t="s">
        <v>2050</v>
      </c>
    </row>
    <row r="27" spans="2:11" s="186" customFormat="1" ht="65.849999999999994" customHeight="1" thickBot="1" x14ac:dyDescent="0.3">
      <c r="B27" s="215"/>
      <c r="C27" s="8">
        <v>3</v>
      </c>
      <c r="D27" s="29"/>
      <c r="E27" s="30"/>
      <c r="F27" s="205"/>
      <c r="G27" s="205"/>
      <c r="H27" s="205"/>
      <c r="I27" s="205"/>
      <c r="J27" s="205"/>
      <c r="K27" s="184"/>
    </row>
    <row r="28" spans="2:11" s="186" customFormat="1" ht="15.75" thickBot="1" x14ac:dyDescent="0.3">
      <c r="B28" s="215"/>
      <c r="C28" s="8">
        <v>4</v>
      </c>
      <c r="D28" s="29"/>
      <c r="E28" s="30"/>
      <c r="F28" s="205"/>
      <c r="G28" s="205"/>
      <c r="H28" s="205"/>
      <c r="I28" s="205"/>
      <c r="J28" s="205"/>
      <c r="K28" s="205"/>
    </row>
    <row r="29" spans="2:11" s="186" customFormat="1" ht="15.75" thickBot="1" x14ac:dyDescent="0.3">
      <c r="B29" s="215"/>
      <c r="C29" s="8">
        <v>5</v>
      </c>
      <c r="D29" s="29"/>
      <c r="E29" s="30"/>
      <c r="F29" s="205"/>
      <c r="G29" s="205"/>
      <c r="H29" s="205"/>
      <c r="I29" s="205"/>
      <c r="J29" s="205"/>
      <c r="K29" s="205"/>
    </row>
    <row r="30" spans="2:11" s="186" customFormat="1" ht="15.75" thickBot="1" x14ac:dyDescent="0.3">
      <c r="B30" s="215"/>
      <c r="C30" s="8">
        <v>6</v>
      </c>
      <c r="D30" s="29"/>
      <c r="E30" s="30"/>
      <c r="F30" s="205"/>
      <c r="G30" s="205"/>
      <c r="H30" s="205"/>
      <c r="I30" s="205"/>
      <c r="J30" s="205"/>
      <c r="K30" s="205"/>
    </row>
    <row r="31" spans="2:11" s="186" customFormat="1" ht="15.75" thickBot="1" x14ac:dyDescent="0.3">
      <c r="B31" s="215"/>
      <c r="C31" s="8">
        <v>7</v>
      </c>
      <c r="D31" s="29"/>
      <c r="E31" s="30"/>
      <c r="F31" s="205"/>
      <c r="G31" s="205"/>
      <c r="H31" s="205"/>
      <c r="I31" s="205"/>
      <c r="J31" s="205"/>
      <c r="K31" s="205"/>
    </row>
    <row r="32" spans="2:11" s="186" customFormat="1" ht="15.75" thickBot="1" x14ac:dyDescent="0.3">
      <c r="B32" s="215"/>
      <c r="C32" s="8">
        <v>8</v>
      </c>
      <c r="D32" s="29"/>
      <c r="E32" s="30"/>
      <c r="F32" s="205"/>
      <c r="G32" s="205"/>
      <c r="H32" s="205"/>
      <c r="I32" s="205"/>
      <c r="J32" s="205"/>
      <c r="K32" s="205"/>
    </row>
    <row r="33" spans="2:11" s="186" customFormat="1" ht="15.75" thickBot="1" x14ac:dyDescent="0.3">
      <c r="B33" s="215"/>
      <c r="C33" s="8">
        <v>9</v>
      </c>
      <c r="D33" s="30"/>
      <c r="E33" s="30"/>
      <c r="F33" s="205"/>
      <c r="G33" s="205"/>
      <c r="H33" s="205"/>
      <c r="I33" s="205"/>
      <c r="J33" s="205"/>
      <c r="K33" s="205"/>
    </row>
    <row r="34" spans="2:11" s="186" customFormat="1" ht="15.75" thickBot="1" x14ac:dyDescent="0.3">
      <c r="B34" s="215"/>
      <c r="C34" s="8">
        <v>10</v>
      </c>
      <c r="D34" s="30"/>
      <c r="E34" s="30"/>
      <c r="F34" s="205"/>
      <c r="G34" s="205"/>
      <c r="H34" s="205"/>
      <c r="I34" s="205"/>
      <c r="J34" s="205"/>
      <c r="K34" s="205"/>
    </row>
    <row r="35" spans="2:11" s="186" customFormat="1" ht="15.75" thickBot="1" x14ac:dyDescent="0.3">
      <c r="B35" s="215"/>
      <c r="C35" s="8">
        <v>11</v>
      </c>
      <c r="D35" s="30"/>
      <c r="E35" s="30"/>
      <c r="F35" s="205"/>
      <c r="G35" s="205"/>
      <c r="H35" s="205"/>
      <c r="I35" s="205"/>
      <c r="J35" s="205"/>
      <c r="K35" s="205"/>
    </row>
    <row r="36" spans="2:11" s="186" customFormat="1" ht="15.75" thickBot="1" x14ac:dyDescent="0.3">
      <c r="B36" s="215"/>
      <c r="C36" s="8">
        <v>12</v>
      </c>
      <c r="D36" s="30"/>
      <c r="E36" s="30"/>
      <c r="F36" s="205"/>
      <c r="G36" s="205"/>
      <c r="H36" s="205"/>
      <c r="I36" s="205"/>
      <c r="J36" s="205"/>
      <c r="K36" s="205"/>
    </row>
    <row r="37" spans="2:11" ht="15.75" thickBot="1" x14ac:dyDescent="0.3">
      <c r="B37" s="46"/>
      <c r="C37" s="2"/>
      <c r="D37" s="40" t="s">
        <v>151</v>
      </c>
      <c r="E37" s="40"/>
      <c r="F37" s="134">
        <f>SUM(F25:F36)</f>
        <v>76</v>
      </c>
      <c r="G37" s="134">
        <f>SUM(G25:G36)</f>
        <v>53681777917</v>
      </c>
      <c r="H37" s="134">
        <f>SUM(H25:H36)</f>
        <v>53681777917</v>
      </c>
      <c r="I37" s="134">
        <f>SUM(I25:I36)</f>
        <v>53634726186</v>
      </c>
      <c r="J37" s="134">
        <f>SUM(J25:J36)</f>
        <v>52098677118</v>
      </c>
      <c r="K37" s="12"/>
    </row>
    <row r="38" spans="2:11" ht="24" customHeight="1" thickBot="1" x14ac:dyDescent="0.3">
      <c r="B38" s="71" t="s">
        <v>34</v>
      </c>
      <c r="C38" s="105"/>
      <c r="D38" s="1048" t="s">
        <v>345</v>
      </c>
      <c r="E38" s="1049"/>
      <c r="F38" s="1049"/>
      <c r="G38" s="1049"/>
      <c r="H38" s="1049"/>
      <c r="I38" s="1049"/>
      <c r="J38" s="1049"/>
      <c r="K38" s="1050"/>
    </row>
    <row r="39" spans="2:11" ht="24" customHeight="1" thickBot="1" x14ac:dyDescent="0.3">
      <c r="B39" s="71" t="s">
        <v>36</v>
      </c>
      <c r="C39" s="105"/>
      <c r="D39" s="1048" t="s">
        <v>346</v>
      </c>
      <c r="E39" s="1049"/>
      <c r="F39" s="1049"/>
      <c r="G39" s="1049"/>
      <c r="H39" s="1049"/>
      <c r="I39" s="1049"/>
      <c r="J39" s="1049"/>
      <c r="K39" s="1050"/>
    </row>
    <row r="40" spans="2:11" ht="15.75" thickBot="1" x14ac:dyDescent="0.3">
      <c r="B40" s="1"/>
      <c r="C40" s="74"/>
      <c r="D40" s="5"/>
      <c r="E40" s="5"/>
      <c r="F40" s="5"/>
      <c r="G40" s="5"/>
      <c r="H40" s="5"/>
      <c r="I40" s="5"/>
      <c r="J40" s="5"/>
      <c r="K40" s="5"/>
    </row>
    <row r="41" spans="2:11" ht="24" customHeight="1" thickBot="1" x14ac:dyDescent="0.3">
      <c r="B41" s="1054" t="s">
        <v>38</v>
      </c>
      <c r="C41" s="1055"/>
      <c r="D41" s="1055"/>
      <c r="E41" s="1056"/>
      <c r="F41" s="5"/>
      <c r="G41" s="5"/>
      <c r="H41" s="5"/>
      <c r="I41" s="5"/>
      <c r="J41" s="5"/>
      <c r="K41" s="5"/>
    </row>
    <row r="42" spans="2:11" ht="15.75" thickBot="1" x14ac:dyDescent="0.3">
      <c r="B42" s="1045">
        <v>1</v>
      </c>
      <c r="C42" s="92"/>
      <c r="D42" s="47" t="s">
        <v>39</v>
      </c>
      <c r="E42" s="30" t="s">
        <v>1771</v>
      </c>
      <c r="F42" s="5"/>
      <c r="G42" s="5"/>
      <c r="H42" s="5"/>
      <c r="I42" s="5"/>
      <c r="J42" s="5"/>
      <c r="K42" s="5"/>
    </row>
    <row r="43" spans="2:11" ht="15.75" thickBot="1" x14ac:dyDescent="0.3">
      <c r="B43" s="1046"/>
      <c r="C43" s="92"/>
      <c r="D43" s="40" t="s">
        <v>40</v>
      </c>
      <c r="E43" s="30" t="s">
        <v>1772</v>
      </c>
      <c r="F43" s="5"/>
      <c r="G43" s="5"/>
      <c r="H43" s="5"/>
      <c r="I43" s="5"/>
      <c r="J43" s="5"/>
      <c r="K43" s="5"/>
    </row>
    <row r="44" spans="2:11" ht="15.75" thickBot="1" x14ac:dyDescent="0.3">
      <c r="B44" s="1046"/>
      <c r="C44" s="92"/>
      <c r="D44" s="40" t="s">
        <v>41</v>
      </c>
      <c r="E44" s="30" t="s">
        <v>1774</v>
      </c>
      <c r="F44" s="5"/>
      <c r="G44" s="5"/>
      <c r="H44" s="5"/>
      <c r="I44" s="5"/>
      <c r="J44" s="5"/>
      <c r="K44" s="5"/>
    </row>
    <row r="45" spans="2:11" ht="15.75" thickBot="1" x14ac:dyDescent="0.3">
      <c r="B45" s="1046"/>
      <c r="C45" s="92"/>
      <c r="D45" s="40" t="s">
        <v>42</v>
      </c>
      <c r="E45" s="30" t="s">
        <v>1494</v>
      </c>
      <c r="F45" s="5"/>
      <c r="G45" s="5"/>
      <c r="H45" s="5"/>
      <c r="I45" s="5"/>
      <c r="J45" s="5"/>
      <c r="K45" s="5"/>
    </row>
    <row r="46" spans="2:11" ht="15.75" thickBot="1" x14ac:dyDescent="0.3">
      <c r="B46" s="1046"/>
      <c r="C46" s="92"/>
      <c r="D46" s="40" t="s">
        <v>43</v>
      </c>
      <c r="E46" s="515" t="s">
        <v>1775</v>
      </c>
      <c r="F46" s="5"/>
      <c r="G46" s="5"/>
      <c r="H46" s="5"/>
      <c r="I46" s="5"/>
      <c r="J46" s="5"/>
      <c r="K46" s="5"/>
    </row>
    <row r="47" spans="2:11" ht="15.75" thickBot="1" x14ac:dyDescent="0.3">
      <c r="B47" s="1046"/>
      <c r="C47" s="92"/>
      <c r="D47" s="40" t="s">
        <v>44</v>
      </c>
      <c r="E47" s="30">
        <v>4380200</v>
      </c>
      <c r="F47" s="5"/>
      <c r="G47" s="5"/>
      <c r="H47" s="5"/>
      <c r="I47" s="5"/>
      <c r="J47" s="5"/>
      <c r="K47" s="5"/>
    </row>
    <row r="48" spans="2:11" ht="15.75" thickBot="1" x14ac:dyDescent="0.3">
      <c r="B48" s="1047"/>
      <c r="C48" s="2"/>
      <c r="D48" s="40" t="s">
        <v>45</v>
      </c>
      <c r="E48" s="30" t="s">
        <v>1773</v>
      </c>
      <c r="F48" s="5"/>
      <c r="G48" s="5"/>
      <c r="H48" s="5"/>
      <c r="I48" s="5"/>
      <c r="J48" s="5"/>
      <c r="K48" s="5"/>
    </row>
    <row r="49" spans="2:11" ht="15.75" thickBot="1" x14ac:dyDescent="0.3">
      <c r="B49" s="1"/>
      <c r="C49" s="74"/>
      <c r="D49" s="5"/>
      <c r="E49" s="5"/>
      <c r="F49" s="5"/>
      <c r="G49" s="5"/>
      <c r="H49" s="5"/>
      <c r="I49" s="5"/>
      <c r="J49" s="5"/>
      <c r="K49" s="5"/>
    </row>
    <row r="50" spans="2:11" ht="15.75" thickBot="1" x14ac:dyDescent="0.3">
      <c r="B50" s="1054" t="s">
        <v>46</v>
      </c>
      <c r="C50" s="1055"/>
      <c r="D50" s="1055"/>
      <c r="E50" s="1056"/>
      <c r="F50" s="5"/>
      <c r="G50" s="5"/>
      <c r="H50" s="5"/>
      <c r="I50" s="5"/>
      <c r="J50" s="5"/>
      <c r="K50" s="5"/>
    </row>
    <row r="51" spans="2:11" ht="15.75" thickBot="1" x14ac:dyDescent="0.3">
      <c r="B51" s="1045">
        <v>1</v>
      </c>
      <c r="C51" s="92"/>
      <c r="D51" s="47" t="s">
        <v>39</v>
      </c>
      <c r="E51" s="217" t="s">
        <v>47</v>
      </c>
      <c r="F51" s="5"/>
      <c r="G51" s="5"/>
      <c r="H51" s="5"/>
      <c r="I51" s="5"/>
      <c r="J51" s="5"/>
      <c r="K51" s="5"/>
    </row>
    <row r="52" spans="2:11" ht="15.75" thickBot="1" x14ac:dyDescent="0.3">
      <c r="B52" s="1046"/>
      <c r="C52" s="92"/>
      <c r="D52" s="40" t="s">
        <v>40</v>
      </c>
      <c r="E52" s="217" t="s">
        <v>160</v>
      </c>
      <c r="F52" s="5"/>
      <c r="G52" s="5"/>
      <c r="H52" s="5"/>
      <c r="I52" s="5"/>
      <c r="J52" s="5"/>
      <c r="K52" s="5"/>
    </row>
    <row r="53" spans="2:11" ht="15.75" thickBot="1" x14ac:dyDescent="0.3">
      <c r="B53" s="1046"/>
      <c r="C53" s="92"/>
      <c r="D53" s="40" t="s">
        <v>41</v>
      </c>
      <c r="E53" s="237"/>
      <c r="F53" s="5"/>
      <c r="G53" s="5"/>
      <c r="H53" s="5"/>
      <c r="I53" s="5"/>
      <c r="J53" s="5"/>
      <c r="K53" s="5"/>
    </row>
    <row r="54" spans="2:11" ht="15.75" thickBot="1" x14ac:dyDescent="0.3">
      <c r="B54" s="1046"/>
      <c r="C54" s="92"/>
      <c r="D54" s="40" t="s">
        <v>42</v>
      </c>
      <c r="E54" s="237"/>
      <c r="F54" s="5"/>
      <c r="G54" s="5"/>
      <c r="H54" s="5"/>
      <c r="I54" s="5"/>
      <c r="J54" s="5"/>
      <c r="K54" s="5"/>
    </row>
    <row r="55" spans="2:11" ht="15.75" thickBot="1" x14ac:dyDescent="0.3">
      <c r="B55" s="1046"/>
      <c r="C55" s="92"/>
      <c r="D55" s="40" t="s">
        <v>43</v>
      </c>
      <c r="E55" s="237"/>
      <c r="F55" s="5"/>
      <c r="G55" s="5"/>
      <c r="H55" s="5"/>
      <c r="I55" s="5"/>
      <c r="J55" s="5"/>
      <c r="K55" s="5"/>
    </row>
    <row r="56" spans="2:11" ht="15.75" thickBot="1" x14ac:dyDescent="0.3">
      <c r="B56" s="1046"/>
      <c r="C56" s="92"/>
      <c r="D56" s="40" t="s">
        <v>44</v>
      </c>
      <c r="E56" s="237"/>
      <c r="F56" s="5"/>
      <c r="G56" s="5"/>
      <c r="H56" s="5"/>
      <c r="I56" s="5"/>
      <c r="J56" s="5"/>
      <c r="K56" s="5"/>
    </row>
    <row r="57" spans="2:11" ht="15.75" thickBot="1" x14ac:dyDescent="0.3">
      <c r="B57" s="1047"/>
      <c r="C57" s="2"/>
      <c r="D57" s="40" t="s">
        <v>45</v>
      </c>
      <c r="E57" s="237"/>
      <c r="F57" s="5"/>
      <c r="G57" s="5"/>
      <c r="H57" s="5"/>
      <c r="I57" s="5"/>
      <c r="J57" s="5"/>
      <c r="K57" s="5"/>
    </row>
    <row r="58" spans="2:11" ht="15.75" thickBot="1" x14ac:dyDescent="0.3">
      <c r="B58" s="1"/>
      <c r="C58" s="74"/>
      <c r="D58" s="5"/>
      <c r="E58" s="5"/>
      <c r="F58" s="5"/>
      <c r="G58" s="5"/>
      <c r="H58" s="5"/>
      <c r="I58" s="5"/>
      <c r="J58" s="5"/>
      <c r="K58" s="5"/>
    </row>
    <row r="59" spans="2:11" ht="15" customHeight="1" thickBot="1" x14ac:dyDescent="0.3">
      <c r="B59" s="117" t="s">
        <v>49</v>
      </c>
      <c r="C59" s="118"/>
      <c r="D59" s="118"/>
      <c r="E59" s="119"/>
      <c r="G59" s="5"/>
      <c r="H59" s="5"/>
      <c r="I59" s="5"/>
      <c r="J59" s="5"/>
      <c r="K59" s="5"/>
    </row>
    <row r="60" spans="2:11" ht="24.75" thickBot="1" x14ac:dyDescent="0.3">
      <c r="B60" s="46" t="s">
        <v>50</v>
      </c>
      <c r="C60" s="40" t="s">
        <v>51</v>
      </c>
      <c r="D60" s="40" t="s">
        <v>52</v>
      </c>
      <c r="E60" s="40" t="s">
        <v>53</v>
      </c>
      <c r="F60" s="5"/>
      <c r="G60" s="5"/>
      <c r="H60" s="5"/>
      <c r="I60" s="5"/>
      <c r="J60" s="5"/>
    </row>
    <row r="61" spans="2:11" ht="72.75" thickBot="1" x14ac:dyDescent="0.3">
      <c r="B61" s="48">
        <v>42401</v>
      </c>
      <c r="C61" s="40">
        <v>0.01</v>
      </c>
      <c r="D61" s="49" t="s">
        <v>347</v>
      </c>
      <c r="E61" s="40"/>
      <c r="F61" s="5"/>
      <c r="G61" s="5"/>
      <c r="H61" s="5"/>
      <c r="I61" s="5"/>
      <c r="J61" s="5"/>
    </row>
    <row r="62" spans="2:11" ht="15.75" thickBot="1" x14ac:dyDescent="0.3">
      <c r="B62" s="3"/>
      <c r="C62" s="93"/>
      <c r="D62" s="5"/>
      <c r="E62" s="5"/>
      <c r="F62" s="5"/>
      <c r="G62" s="5"/>
      <c r="H62" s="5"/>
      <c r="I62" s="5"/>
      <c r="J62" s="5"/>
      <c r="K62" s="5"/>
    </row>
    <row r="63" spans="2:11" ht="15.75" thickBot="1" x14ac:dyDescent="0.3">
      <c r="B63" s="4" t="s">
        <v>55</v>
      </c>
      <c r="C63" s="94"/>
      <c r="D63" s="5"/>
      <c r="E63" s="5"/>
      <c r="F63" s="5"/>
      <c r="G63" s="5"/>
      <c r="H63" s="5"/>
      <c r="I63" s="5"/>
      <c r="J63" s="5"/>
      <c r="K63" s="5"/>
    </row>
    <row r="64" spans="2:11" x14ac:dyDescent="0.25">
      <c r="B64" s="1085"/>
      <c r="C64" s="1086"/>
      <c r="D64" s="1086"/>
      <c r="E64" s="1086"/>
      <c r="F64" s="5"/>
      <c r="G64" s="5"/>
      <c r="H64" s="5"/>
      <c r="I64" s="5"/>
      <c r="J64" s="5"/>
      <c r="K64" s="5"/>
    </row>
    <row r="65" spans="2:11" x14ac:dyDescent="0.25">
      <c r="B65" s="1085"/>
      <c r="C65" s="1086"/>
      <c r="D65" s="1086"/>
      <c r="E65" s="1086"/>
      <c r="F65" s="5"/>
      <c r="G65" s="5"/>
      <c r="H65" s="5"/>
      <c r="I65" s="5"/>
      <c r="J65" s="5"/>
      <c r="K65" s="5"/>
    </row>
    <row r="66" spans="2:11" ht="15.75" thickBot="1" x14ac:dyDescent="0.3">
      <c r="B66" s="5"/>
      <c r="D66" s="5"/>
      <c r="E66" s="5"/>
      <c r="F66" s="5"/>
      <c r="G66" s="5"/>
      <c r="H66" s="5"/>
      <c r="I66" s="5"/>
      <c r="J66" s="5"/>
      <c r="K66" s="5"/>
    </row>
    <row r="67" spans="2:11" ht="24.75" thickBot="1" x14ac:dyDescent="0.3">
      <c r="B67" s="50" t="s">
        <v>56</v>
      </c>
      <c r="C67" s="95"/>
      <c r="D67" s="5"/>
      <c r="E67" s="5"/>
      <c r="F67" s="5"/>
      <c r="G67" s="5"/>
      <c r="H67" s="5"/>
      <c r="I67" s="5"/>
      <c r="J67" s="5"/>
      <c r="K67" s="5"/>
    </row>
    <row r="68" spans="2:11" ht="15.75" thickBot="1" x14ac:dyDescent="0.3">
      <c r="B68" s="37"/>
      <c r="C68" s="86"/>
      <c r="D68" s="5"/>
      <c r="E68" s="5"/>
      <c r="F68" s="5"/>
      <c r="G68" s="5"/>
      <c r="H68" s="5"/>
      <c r="I68" s="5"/>
      <c r="J68" s="5"/>
      <c r="K68" s="5"/>
    </row>
    <row r="69" spans="2:11" ht="60.75" thickBot="1" x14ac:dyDescent="0.3">
      <c r="B69" s="51" t="s">
        <v>57</v>
      </c>
      <c r="C69" s="96"/>
      <c r="D69" s="42" t="s">
        <v>315</v>
      </c>
      <c r="E69" s="5"/>
      <c r="F69" s="5"/>
      <c r="G69" s="5"/>
      <c r="H69" s="5"/>
      <c r="I69" s="5"/>
      <c r="J69" s="5"/>
      <c r="K69" s="5"/>
    </row>
    <row r="70" spans="2:11" x14ac:dyDescent="0.25">
      <c r="B70" s="1045" t="s">
        <v>59</v>
      </c>
      <c r="C70" s="92"/>
      <c r="D70" s="52" t="s">
        <v>60</v>
      </c>
      <c r="E70" s="5"/>
      <c r="F70" s="5"/>
      <c r="G70" s="5"/>
      <c r="H70" s="5"/>
      <c r="I70" s="5"/>
      <c r="J70" s="5"/>
      <c r="K70" s="5"/>
    </row>
    <row r="71" spans="2:11" ht="72" x14ac:dyDescent="0.25">
      <c r="B71" s="1046"/>
      <c r="C71" s="92"/>
      <c r="D71" s="45" t="s">
        <v>316</v>
      </c>
      <c r="E71" s="5"/>
      <c r="F71" s="5"/>
      <c r="G71" s="5"/>
      <c r="H71" s="5"/>
      <c r="I71" s="5"/>
      <c r="J71" s="5"/>
      <c r="K71" s="5"/>
    </row>
    <row r="72" spans="2:11" x14ac:dyDescent="0.25">
      <c r="B72" s="1046"/>
      <c r="C72" s="92"/>
      <c r="D72" s="52" t="s">
        <v>317</v>
      </c>
      <c r="E72" s="5"/>
      <c r="F72" s="5"/>
      <c r="G72" s="5"/>
      <c r="H72" s="5"/>
      <c r="I72" s="5"/>
      <c r="J72" s="5"/>
      <c r="K72" s="5"/>
    </row>
    <row r="73" spans="2:11" x14ac:dyDescent="0.25">
      <c r="B73" s="1046"/>
      <c r="C73" s="92"/>
      <c r="D73" s="45" t="s">
        <v>318</v>
      </c>
      <c r="E73" s="5"/>
      <c r="F73" s="5"/>
      <c r="G73" s="5"/>
      <c r="H73" s="5"/>
      <c r="I73" s="5"/>
      <c r="J73" s="5"/>
      <c r="K73" s="5"/>
    </row>
    <row r="74" spans="2:11" ht="60" x14ac:dyDescent="0.25">
      <c r="B74" s="1046"/>
      <c r="C74" s="92"/>
      <c r="D74" s="45" t="s">
        <v>319</v>
      </c>
      <c r="E74" s="5"/>
      <c r="F74" s="5"/>
      <c r="G74" s="5"/>
      <c r="H74" s="5"/>
      <c r="I74" s="5"/>
      <c r="J74" s="5"/>
      <c r="K74" s="5"/>
    </row>
    <row r="75" spans="2:11" ht="252" x14ac:dyDescent="0.25">
      <c r="B75" s="1046"/>
      <c r="C75" s="92"/>
      <c r="D75" s="45" t="s">
        <v>320</v>
      </c>
      <c r="E75" s="5"/>
      <c r="F75" s="5"/>
      <c r="G75" s="5"/>
      <c r="H75" s="5"/>
      <c r="I75" s="5"/>
      <c r="J75" s="5"/>
      <c r="K75" s="5"/>
    </row>
    <row r="76" spans="2:11" x14ac:dyDescent="0.25">
      <c r="B76" s="1046"/>
      <c r="C76" s="92"/>
      <c r="D76" s="52" t="s">
        <v>288</v>
      </c>
      <c r="E76" s="5"/>
      <c r="F76" s="5"/>
      <c r="G76" s="5"/>
      <c r="H76" s="5"/>
      <c r="I76" s="5"/>
      <c r="J76" s="5"/>
      <c r="K76" s="5"/>
    </row>
    <row r="77" spans="2:11" ht="15.75" thickBot="1" x14ac:dyDescent="0.3">
      <c r="B77" s="1047"/>
      <c r="C77" s="2"/>
      <c r="D77" s="40" t="s">
        <v>321</v>
      </c>
      <c r="E77" s="5"/>
      <c r="F77" s="5"/>
      <c r="G77" s="5"/>
      <c r="H77" s="5"/>
      <c r="I77" s="5"/>
      <c r="J77" s="5"/>
      <c r="K77" s="5"/>
    </row>
    <row r="78" spans="2:11" x14ac:dyDescent="0.25">
      <c r="B78" s="1045" t="s">
        <v>72</v>
      </c>
      <c r="C78" s="97"/>
      <c r="D78" s="1045"/>
      <c r="E78" s="5"/>
      <c r="F78" s="5"/>
      <c r="G78" s="5"/>
      <c r="H78" s="5"/>
      <c r="I78" s="5"/>
      <c r="J78" s="5"/>
      <c r="K78" s="5"/>
    </row>
    <row r="79" spans="2:11" ht="15.75" thickBot="1" x14ac:dyDescent="0.3">
      <c r="B79" s="1047"/>
      <c r="C79" s="98"/>
      <c r="D79" s="1047"/>
      <c r="E79" s="5"/>
      <c r="F79" s="5"/>
      <c r="G79" s="5"/>
      <c r="H79" s="5"/>
      <c r="I79" s="5"/>
      <c r="J79" s="5"/>
      <c r="K79" s="5"/>
    </row>
    <row r="80" spans="2:11" ht="180" x14ac:dyDescent="0.25">
      <c r="B80" s="1045" t="s">
        <v>73</v>
      </c>
      <c r="C80" s="92"/>
      <c r="D80" s="45" t="s">
        <v>322</v>
      </c>
      <c r="E80" s="5"/>
      <c r="F80" s="5"/>
      <c r="G80" s="5"/>
      <c r="H80" s="5"/>
      <c r="I80" s="5"/>
      <c r="J80" s="5"/>
      <c r="K80" s="5"/>
    </row>
    <row r="81" spans="2:11" ht="120" x14ac:dyDescent="0.25">
      <c r="B81" s="1046"/>
      <c r="C81" s="92"/>
      <c r="D81" s="45" t="s">
        <v>323</v>
      </c>
      <c r="E81" s="5"/>
      <c r="F81" s="5"/>
      <c r="G81" s="5"/>
      <c r="H81" s="5"/>
      <c r="I81" s="5"/>
      <c r="J81" s="5"/>
      <c r="K81" s="5"/>
    </row>
    <row r="82" spans="2:11" ht="120" x14ac:dyDescent="0.25">
      <c r="B82" s="1046"/>
      <c r="C82" s="92"/>
      <c r="D82" s="45" t="s">
        <v>324</v>
      </c>
      <c r="E82" s="5"/>
      <c r="F82" s="5"/>
      <c r="G82" s="5"/>
      <c r="H82" s="5"/>
      <c r="I82" s="5"/>
      <c r="J82" s="5"/>
      <c r="K82" s="5"/>
    </row>
    <row r="83" spans="2:11" ht="84" x14ac:dyDescent="0.25">
      <c r="B83" s="1046"/>
      <c r="C83" s="92"/>
      <c r="D83" s="45" t="s">
        <v>325</v>
      </c>
      <c r="E83" s="5"/>
      <c r="F83" s="5"/>
      <c r="G83" s="5"/>
      <c r="H83" s="5"/>
      <c r="I83" s="5"/>
      <c r="J83" s="5"/>
      <c r="K83" s="5"/>
    </row>
    <row r="84" spans="2:11" ht="72" x14ac:dyDescent="0.25">
      <c r="B84" s="1046"/>
      <c r="C84" s="92"/>
      <c r="D84" s="45" t="s">
        <v>326</v>
      </c>
      <c r="E84" s="5"/>
      <c r="F84" s="5"/>
      <c r="G84" s="5"/>
      <c r="H84" s="5"/>
      <c r="I84" s="5"/>
      <c r="J84" s="5"/>
      <c r="K84" s="5"/>
    </row>
    <row r="85" spans="2:11" ht="192" x14ac:dyDescent="0.25">
      <c r="B85" s="1046"/>
      <c r="C85" s="92"/>
      <c r="D85" s="45" t="s">
        <v>327</v>
      </c>
      <c r="E85" s="5"/>
      <c r="F85" s="5"/>
      <c r="G85" s="5"/>
      <c r="H85" s="5"/>
      <c r="I85" s="5"/>
      <c r="J85" s="5"/>
      <c r="K85" s="5"/>
    </row>
    <row r="86" spans="2:11" ht="108.75" thickBot="1" x14ac:dyDescent="0.3">
      <c r="B86" s="1047"/>
      <c r="C86" s="2"/>
      <c r="D86" s="40" t="s">
        <v>328</v>
      </c>
      <c r="E86" s="5"/>
      <c r="F86" s="5"/>
      <c r="G86" s="5"/>
      <c r="H86" s="5"/>
      <c r="I86" s="5"/>
      <c r="J86" s="5"/>
      <c r="K86" s="5"/>
    </row>
    <row r="87" spans="2:11" ht="24" x14ac:dyDescent="0.25">
      <c r="B87" s="1045" t="s">
        <v>90</v>
      </c>
      <c r="C87" s="92"/>
      <c r="D87" s="52" t="s">
        <v>329</v>
      </c>
      <c r="E87" s="5"/>
      <c r="F87" s="5"/>
      <c r="G87" s="5"/>
      <c r="H87" s="5"/>
      <c r="I87" s="5"/>
      <c r="J87" s="5"/>
      <c r="K87" s="5"/>
    </row>
    <row r="88" spans="2:11" x14ac:dyDescent="0.25">
      <c r="B88" s="1046"/>
      <c r="C88" s="92"/>
      <c r="D88" s="16"/>
      <c r="E88" s="5"/>
      <c r="F88" s="5"/>
      <c r="G88" s="5"/>
      <c r="H88" s="5"/>
      <c r="I88" s="5"/>
      <c r="J88" s="5"/>
      <c r="K88" s="5"/>
    </row>
    <row r="89" spans="2:11" x14ac:dyDescent="0.25">
      <c r="B89" s="1046"/>
      <c r="C89" s="92"/>
      <c r="D89" s="45" t="s">
        <v>91</v>
      </c>
      <c r="E89" s="5"/>
      <c r="F89" s="5"/>
      <c r="G89" s="5"/>
      <c r="H89" s="5"/>
      <c r="I89" s="5"/>
      <c r="J89" s="5"/>
      <c r="K89" s="5"/>
    </row>
    <row r="90" spans="2:11" ht="37.5" x14ac:dyDescent="0.25">
      <c r="B90" s="1046"/>
      <c r="C90" s="92"/>
      <c r="D90" s="45" t="s">
        <v>330</v>
      </c>
      <c r="E90" s="5"/>
      <c r="F90" s="5"/>
      <c r="G90" s="5"/>
      <c r="H90" s="5"/>
      <c r="I90" s="5"/>
      <c r="J90" s="5"/>
      <c r="K90" s="5"/>
    </row>
    <row r="91" spans="2:11" ht="37.5" x14ac:dyDescent="0.25">
      <c r="B91" s="1046"/>
      <c r="C91" s="92"/>
      <c r="D91" s="45" t="s">
        <v>331</v>
      </c>
      <c r="E91" s="5"/>
      <c r="F91" s="5"/>
      <c r="G91" s="5"/>
      <c r="H91" s="5"/>
      <c r="I91" s="5"/>
      <c r="J91" s="5"/>
      <c r="K91" s="5"/>
    </row>
    <row r="92" spans="2:11" ht="37.5" x14ac:dyDescent="0.25">
      <c r="B92" s="1046"/>
      <c r="C92" s="92"/>
      <c r="D92" s="45" t="s">
        <v>332</v>
      </c>
      <c r="E92" s="5"/>
      <c r="F92" s="5"/>
      <c r="G92" s="5"/>
      <c r="H92" s="5"/>
      <c r="I92" s="5"/>
      <c r="J92" s="5"/>
      <c r="K92" s="5"/>
    </row>
    <row r="93" spans="2:11" ht="84" x14ac:dyDescent="0.25">
      <c r="B93" s="1046"/>
      <c r="C93" s="92"/>
      <c r="D93" s="53" t="s">
        <v>235</v>
      </c>
      <c r="E93" s="5"/>
      <c r="F93" s="5"/>
      <c r="G93" s="5"/>
      <c r="H93" s="5"/>
      <c r="I93" s="5"/>
      <c r="J93" s="5"/>
      <c r="K93" s="5"/>
    </row>
    <row r="94" spans="2:11" x14ac:dyDescent="0.25">
      <c r="B94" s="1046"/>
      <c r="C94" s="92"/>
      <c r="D94" s="52" t="s">
        <v>246</v>
      </c>
      <c r="E94" s="5"/>
      <c r="F94" s="5"/>
      <c r="G94" s="5"/>
      <c r="H94" s="5"/>
      <c r="I94" s="5"/>
      <c r="J94" s="5"/>
      <c r="K94" s="5"/>
    </row>
    <row r="95" spans="2:11" ht="36" x14ac:dyDescent="0.25">
      <c r="B95" s="1046"/>
      <c r="C95" s="92"/>
      <c r="D95" s="52" t="s">
        <v>333</v>
      </c>
      <c r="E95" s="5"/>
      <c r="F95" s="5"/>
      <c r="G95" s="5"/>
      <c r="H95" s="5"/>
      <c r="I95" s="5"/>
      <c r="J95" s="5"/>
      <c r="K95" s="5"/>
    </row>
    <row r="96" spans="2:11" x14ac:dyDescent="0.25">
      <c r="B96" s="1046"/>
      <c r="C96" s="92"/>
      <c r="D96" s="16"/>
      <c r="E96" s="5"/>
      <c r="F96" s="5"/>
      <c r="G96" s="5"/>
      <c r="H96" s="5"/>
      <c r="I96" s="5"/>
      <c r="J96" s="5"/>
      <c r="K96" s="5"/>
    </row>
    <row r="97" spans="2:11" x14ac:dyDescent="0.25">
      <c r="B97" s="1046"/>
      <c r="C97" s="92"/>
      <c r="D97" s="45" t="s">
        <v>91</v>
      </c>
      <c r="E97" s="5"/>
      <c r="F97" s="5"/>
      <c r="G97" s="5"/>
      <c r="H97" s="5"/>
      <c r="I97" s="5"/>
      <c r="J97" s="5"/>
      <c r="K97" s="5"/>
    </row>
    <row r="98" spans="2:11" ht="37.5" x14ac:dyDescent="0.25">
      <c r="B98" s="1046"/>
      <c r="C98" s="92"/>
      <c r="D98" s="45" t="s">
        <v>334</v>
      </c>
      <c r="E98" s="5"/>
      <c r="F98" s="5"/>
      <c r="G98" s="5"/>
      <c r="H98" s="5"/>
      <c r="I98" s="5"/>
      <c r="J98" s="5"/>
      <c r="K98" s="5"/>
    </row>
    <row r="99" spans="2:11" ht="62.25" thickBot="1" x14ac:dyDescent="0.3">
      <c r="B99" s="1047"/>
      <c r="C99" s="2"/>
      <c r="D99" s="40" t="s">
        <v>335</v>
      </c>
      <c r="E99" s="5"/>
      <c r="F99" s="5"/>
      <c r="G99" s="5"/>
      <c r="H99" s="5"/>
      <c r="I99" s="5"/>
      <c r="J99" s="5"/>
      <c r="K99" s="5"/>
    </row>
  </sheetData>
  <mergeCells count="28">
    <mergeCell ref="B10:D10"/>
    <mergeCell ref="F10:S10"/>
    <mergeCell ref="F11:S11"/>
    <mergeCell ref="E12:R12"/>
    <mergeCell ref="E13:R13"/>
    <mergeCell ref="B70:B77"/>
    <mergeCell ref="B78:B79"/>
    <mergeCell ref="D78:D79"/>
    <mergeCell ref="B80:B86"/>
    <mergeCell ref="B87:B99"/>
    <mergeCell ref="B64:E65"/>
    <mergeCell ref="D15:K15"/>
    <mergeCell ref="D20:K20"/>
    <mergeCell ref="D21:K21"/>
    <mergeCell ref="D22:K22"/>
    <mergeCell ref="B15:B19"/>
    <mergeCell ref="B51:B57"/>
    <mergeCell ref="D23:K23"/>
    <mergeCell ref="D38:K38"/>
    <mergeCell ref="D39:K39"/>
    <mergeCell ref="B41:E41"/>
    <mergeCell ref="B42:B48"/>
    <mergeCell ref="B50:E50"/>
    <mergeCell ref="A1:P1"/>
    <mergeCell ref="A2:P2"/>
    <mergeCell ref="A3:P3"/>
    <mergeCell ref="A4:D4"/>
    <mergeCell ref="A5:P5"/>
  </mergeCells>
  <conditionalFormatting sqref="F10">
    <cfRule type="notContainsBlanks" dxfId="100" priority="4">
      <formula>LEN(TRIM(F10))&gt;0</formula>
    </cfRule>
  </conditionalFormatting>
  <conditionalFormatting sqref="F11:S11">
    <cfRule type="expression" dxfId="99" priority="2">
      <formula>E11="NO SE REPORTA"</formula>
    </cfRule>
    <cfRule type="expression" dxfId="98" priority="3">
      <formula>E10="NO APLICA"</formula>
    </cfRule>
  </conditionalFormatting>
  <conditionalFormatting sqref="E12:R12">
    <cfRule type="expression" dxfId="97" priority="1">
      <formula>E11="SI SE REPORTA"</formula>
    </cfRule>
  </conditionalFormatting>
  <dataValidations count="6">
    <dataValidation type="whole" operator="greaterThanOrEqual" allowBlank="1" showInputMessage="1" showErrorMessage="1" errorTitle="ERROR" error="Valor en PESOS (sin centavos)" sqref="J27:J36 G25:I36">
      <formula1>0</formula1>
    </dataValidation>
    <dataValidation type="whole" operator="greaterThanOrEqual" allowBlank="1" showInputMessage="1" showErrorMessage="1" errorTitle="ERROR" error="Valor en HECTAREAS (sin decimales)_x000a_" sqref="E17:H18 F25:F36">
      <formula1>0</formula1>
    </dataValidation>
    <dataValidation allowBlank="1" showInputMessage="1" showErrorMessage="1" promptTitle="OJO" prompt="NO TOCAR" sqref="F37:J37"/>
    <dataValidation allowBlank="1" showInputMessage="1" showErrorMessage="1" sqref="E19:H19"/>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46" r:id="rId1"/>
  </hyperlinks>
  <pageMargins left="0.25" right="0.25" top="0.75" bottom="0.75" header="0.3" footer="0.3"/>
  <pageSetup paperSize="178" orientation="landscape" horizontalDpi="1200" verticalDpi="120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5"/>
  <sheetViews>
    <sheetView showGridLines="0" zoomScale="98" zoomScaleNormal="98" workbookViewId="0">
      <selection activeCell="L18" sqref="L18"/>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10" max="10" width="36.8554687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348</v>
      </c>
      <c r="B5" s="1008"/>
      <c r="C5" s="1008"/>
      <c r="D5" s="1008"/>
      <c r="E5" s="1008"/>
      <c r="F5" s="1008"/>
      <c r="G5" s="1008"/>
      <c r="H5" s="1008"/>
      <c r="I5" s="1008"/>
      <c r="J5" s="1008"/>
      <c r="K5" s="1008"/>
      <c r="L5" s="1008"/>
      <c r="M5" s="1008"/>
      <c r="N5" s="1008"/>
      <c r="O5" s="1008"/>
      <c r="P5" s="1009"/>
    </row>
    <row r="6" spans="1:21" x14ac:dyDescent="0.25">
      <c r="B6" s="223"/>
      <c r="C6" s="224"/>
      <c r="D6" s="5"/>
      <c r="E6" s="5"/>
      <c r="F6" s="5"/>
      <c r="G6" s="5"/>
      <c r="H6" s="5"/>
      <c r="I6" s="5"/>
      <c r="J6" s="5"/>
      <c r="K6" s="5"/>
    </row>
    <row r="7" spans="1:21" x14ac:dyDescent="0.25">
      <c r="B7" s="1" t="s">
        <v>1</v>
      </c>
      <c r="C7" s="74"/>
      <c r="D7" s="5"/>
      <c r="E7" s="72"/>
      <c r="F7" s="5" t="s">
        <v>128</v>
      </c>
      <c r="G7" s="5"/>
      <c r="H7" s="5"/>
      <c r="I7" s="5"/>
      <c r="J7" s="5"/>
      <c r="K7" s="5"/>
    </row>
    <row r="8" spans="1:21" ht="15.75" thickBot="1" x14ac:dyDescent="0.3">
      <c r="B8" s="73"/>
      <c r="C8" s="75"/>
      <c r="D8" s="5"/>
      <c r="E8" s="17"/>
      <c r="F8" s="5" t="s">
        <v>129</v>
      </c>
      <c r="G8" s="5"/>
      <c r="H8" s="5"/>
      <c r="I8" s="5"/>
      <c r="J8" s="5"/>
      <c r="K8" s="5"/>
    </row>
    <row r="9" spans="1:21" ht="15.75" thickBot="1" x14ac:dyDescent="0.3">
      <c r="B9" s="169" t="s">
        <v>1192</v>
      </c>
      <c r="C9" s="209">
        <v>2022</v>
      </c>
      <c r="D9" s="214" t="str">
        <f>IF(E11="NO APLICA","NO APLICA",IF(E12="NO SE REPORTA","SIN INFORMACION",+F96))</f>
        <v>SIN INFORMACION</v>
      </c>
      <c r="E9" s="210"/>
      <c r="F9" s="5" t="s">
        <v>130</v>
      </c>
      <c r="G9" s="5"/>
      <c r="H9" s="5"/>
      <c r="I9" s="5"/>
      <c r="J9" s="5"/>
      <c r="K9" s="5"/>
    </row>
    <row r="10" spans="1:21" x14ac:dyDescent="0.25">
      <c r="B10" s="363" t="s">
        <v>1193</v>
      </c>
      <c r="C10" s="74"/>
      <c r="D10" s="5"/>
      <c r="E10" s="5"/>
      <c r="F10" s="5"/>
      <c r="G10" s="5"/>
      <c r="H10" s="5"/>
      <c r="I10" s="5"/>
      <c r="J10" s="5"/>
      <c r="K10" s="5"/>
    </row>
    <row r="11" spans="1:21" x14ac:dyDescent="0.25">
      <c r="B11" s="1015" t="s">
        <v>1250</v>
      </c>
      <c r="C11" s="1015"/>
      <c r="D11" s="1015"/>
      <c r="E11" s="366" t="s">
        <v>1247</v>
      </c>
      <c r="F11" s="1022"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xml:space="preserve">      ESCRIBA EL NÚMERO DEL ACUERDO DEL CONSEJO DIRECTIVO EN LA CUAL SE APRUEBA LA AGENDA DE IMPLEMENTACION DEL INDICADOR</v>
      </c>
      <c r="G11" s="1023"/>
      <c r="H11" s="1023"/>
      <c r="I11" s="1023"/>
      <c r="J11" s="1023"/>
      <c r="K11" s="1023"/>
      <c r="L11" s="1023"/>
      <c r="M11" s="1023"/>
      <c r="N11" s="1023"/>
      <c r="O11" s="1023"/>
      <c r="P11" s="1023"/>
      <c r="Q11" s="1023"/>
      <c r="R11" s="1023"/>
      <c r="S11" s="1023"/>
      <c r="T11" s="5"/>
      <c r="U11" s="5"/>
    </row>
    <row r="12" spans="1:21" ht="14.45" customHeight="1" x14ac:dyDescent="0.25">
      <c r="B12" s="365"/>
      <c r="C12" s="86"/>
      <c r="D12" s="169" t="str">
        <f>IF(E11="SI APLICA","¿El indicador no se reporta por limitaciones de información disponible? ","")</f>
        <v xml:space="preserve">¿El indicador no se reporta por limitaciones de información disponible? </v>
      </c>
      <c r="E12" s="367" t="s">
        <v>1248</v>
      </c>
      <c r="F12" s="1016" t="s">
        <v>1804</v>
      </c>
      <c r="G12" s="1017"/>
      <c r="H12" s="1017"/>
      <c r="I12" s="1017"/>
      <c r="J12" s="1017"/>
      <c r="K12" s="1017"/>
      <c r="L12" s="1017"/>
      <c r="M12" s="1017"/>
      <c r="N12" s="1017"/>
      <c r="O12" s="1017"/>
      <c r="P12" s="1017"/>
      <c r="Q12" s="1017"/>
      <c r="R12" s="1017"/>
      <c r="S12" s="1017"/>
    </row>
    <row r="13" spans="1:21" ht="24" customHeight="1" x14ac:dyDescent="0.25">
      <c r="B13" s="363"/>
      <c r="C13" s="86"/>
      <c r="D13" s="169" t="str">
        <f>IF(E12="SI SE REPORTA","¿Qué programas o proyectos del Plan de Acción están asociados al indicador? ","")</f>
        <v/>
      </c>
      <c r="E13" s="1018" t="s">
        <v>1793</v>
      </c>
      <c r="F13" s="1018"/>
      <c r="G13" s="1018"/>
      <c r="H13" s="1018"/>
      <c r="I13" s="1018"/>
      <c r="J13" s="1018"/>
      <c r="K13" s="1018"/>
      <c r="L13" s="1018"/>
      <c r="M13" s="1018"/>
      <c r="N13" s="1018"/>
      <c r="O13" s="1018"/>
      <c r="P13" s="1018"/>
      <c r="Q13" s="1018"/>
      <c r="R13" s="1018"/>
    </row>
    <row r="14" spans="1:21" ht="28.5" customHeight="1" x14ac:dyDescent="0.25">
      <c r="B14" s="363"/>
      <c r="C14" s="86"/>
      <c r="D14" s="169" t="s">
        <v>1252</v>
      </c>
      <c r="E14" s="1019" t="s">
        <v>2590</v>
      </c>
      <c r="F14" s="1020"/>
      <c r="G14" s="1020"/>
      <c r="H14" s="1020"/>
      <c r="I14" s="1020"/>
      <c r="J14" s="1020"/>
      <c r="K14" s="1020"/>
      <c r="L14" s="1020"/>
      <c r="M14" s="1020"/>
      <c r="N14" s="1020"/>
      <c r="O14" s="1020"/>
      <c r="P14" s="1020"/>
      <c r="Q14" s="1020"/>
      <c r="R14" s="1021"/>
    </row>
    <row r="15" spans="1:21" ht="7.15" customHeight="1" thickBot="1" x14ac:dyDescent="0.3">
      <c r="B15" s="363"/>
      <c r="C15" s="74"/>
      <c r="D15" s="5"/>
      <c r="E15" s="5"/>
      <c r="F15" s="5"/>
      <c r="G15" s="5"/>
      <c r="H15" s="5"/>
      <c r="I15" s="5"/>
      <c r="J15" s="5"/>
      <c r="K15" s="5"/>
    </row>
    <row r="16" spans="1:21" ht="15" customHeight="1" thickBot="1" x14ac:dyDescent="0.3">
      <c r="B16" s="1045" t="s">
        <v>2</v>
      </c>
      <c r="C16" s="87"/>
      <c r="D16" s="228" t="s">
        <v>336</v>
      </c>
      <c r="E16" s="229"/>
      <c r="F16" s="229"/>
      <c r="G16" s="229"/>
      <c r="H16" s="229"/>
      <c r="I16" s="229"/>
      <c r="J16" s="62"/>
      <c r="K16" s="5"/>
    </row>
    <row r="17" spans="2:11" x14ac:dyDescent="0.25">
      <c r="B17" s="1046"/>
      <c r="C17" s="1093" t="s">
        <v>19</v>
      </c>
      <c r="D17" s="1091" t="s">
        <v>150</v>
      </c>
      <c r="E17" s="1108" t="s">
        <v>364</v>
      </c>
      <c r="F17" s="1104" t="s">
        <v>1183</v>
      </c>
      <c r="G17" s="1108" t="s">
        <v>151</v>
      </c>
      <c r="H17" s="5"/>
      <c r="J17" s="21"/>
      <c r="K17" s="5"/>
    </row>
    <row r="18" spans="2:11" ht="28.5" customHeight="1" thickBot="1" x14ac:dyDescent="0.3">
      <c r="B18" s="1046"/>
      <c r="C18" s="1094"/>
      <c r="D18" s="1092"/>
      <c r="E18" s="1109"/>
      <c r="F18" s="1105"/>
      <c r="G18" s="1109"/>
      <c r="H18" s="5"/>
      <c r="J18" s="21"/>
      <c r="K18" s="5"/>
    </row>
    <row r="19" spans="2:11" ht="24.75" thickBot="1" x14ac:dyDescent="0.3">
      <c r="B19" s="1046"/>
      <c r="C19" s="2" t="s">
        <v>152</v>
      </c>
      <c r="D19" s="40" t="s">
        <v>1461</v>
      </c>
      <c r="E19" s="204">
        <v>1</v>
      </c>
      <c r="F19" s="204"/>
      <c r="G19" s="132">
        <f t="shared" ref="G19:G24" si="0">+E19+F19</f>
        <v>1</v>
      </c>
      <c r="H19" s="5"/>
      <c r="J19" s="21"/>
      <c r="K19" s="5"/>
    </row>
    <row r="20" spans="2:11" ht="24.75" thickBot="1" x14ac:dyDescent="0.3">
      <c r="B20" s="1046"/>
      <c r="C20" s="2" t="s">
        <v>154</v>
      </c>
      <c r="D20" s="40" t="s">
        <v>1462</v>
      </c>
      <c r="E20" s="205">
        <v>63992</v>
      </c>
      <c r="F20" s="205"/>
      <c r="G20" s="132">
        <f t="shared" si="0"/>
        <v>63992</v>
      </c>
      <c r="H20" s="5"/>
      <c r="J20" s="21"/>
      <c r="K20" s="5"/>
    </row>
    <row r="21" spans="2:11" ht="36.75" thickBot="1" x14ac:dyDescent="0.3">
      <c r="B21" s="1046"/>
      <c r="C21" s="2" t="s">
        <v>156</v>
      </c>
      <c r="D21" s="40" t="s">
        <v>365</v>
      </c>
      <c r="E21" s="205">
        <v>0</v>
      </c>
      <c r="F21" s="205"/>
      <c r="G21" s="132">
        <f t="shared" si="0"/>
        <v>0</v>
      </c>
      <c r="H21" s="5"/>
      <c r="J21" s="21"/>
      <c r="K21" s="5"/>
    </row>
    <row r="22" spans="2:11" ht="36.75" thickBot="1" x14ac:dyDescent="0.3">
      <c r="B22" s="1046"/>
      <c r="C22" s="2" t="s">
        <v>258</v>
      </c>
      <c r="D22" s="336" t="s">
        <v>1211</v>
      </c>
      <c r="E22" s="205">
        <v>25574</v>
      </c>
      <c r="F22" s="205"/>
      <c r="G22" s="132">
        <f t="shared" si="0"/>
        <v>25574</v>
      </c>
      <c r="H22" s="5"/>
      <c r="J22" s="21"/>
      <c r="K22" s="5"/>
    </row>
    <row r="23" spans="2:11" ht="48.75" thickBot="1" x14ac:dyDescent="0.3">
      <c r="B23" s="1046"/>
      <c r="C23" s="2" t="s">
        <v>260</v>
      </c>
      <c r="D23" s="40" t="s">
        <v>1463</v>
      </c>
      <c r="E23" s="204">
        <v>1</v>
      </c>
      <c r="F23" s="204"/>
      <c r="G23" s="272">
        <f t="shared" si="0"/>
        <v>1</v>
      </c>
      <c r="H23" s="5"/>
      <c r="J23" s="21"/>
      <c r="K23" s="5"/>
    </row>
    <row r="24" spans="2:11" ht="48.75" thickBot="1" x14ac:dyDescent="0.3">
      <c r="B24" s="1046"/>
      <c r="C24" s="2" t="s">
        <v>262</v>
      </c>
      <c r="D24" s="40" t="s">
        <v>1464</v>
      </c>
      <c r="E24" s="132">
        <f>+E21+E22</f>
        <v>25574</v>
      </c>
      <c r="F24" s="132">
        <f>+F21+F22</f>
        <v>0</v>
      </c>
      <c r="G24" s="132">
        <f t="shared" si="0"/>
        <v>25574</v>
      </c>
      <c r="H24" s="5"/>
      <c r="J24" s="21"/>
      <c r="K24" s="5"/>
    </row>
    <row r="25" spans="2:11" ht="24" customHeight="1" x14ac:dyDescent="0.25">
      <c r="B25" s="1046"/>
      <c r="C25" s="90"/>
      <c r="D25" s="1106" t="s">
        <v>366</v>
      </c>
      <c r="E25" s="1107"/>
      <c r="F25" s="1107"/>
      <c r="G25" s="1107"/>
      <c r="H25" s="1107"/>
      <c r="I25" s="1107"/>
      <c r="J25" s="21"/>
    </row>
    <row r="26" spans="2:11" x14ac:dyDescent="0.25">
      <c r="B26" s="1046"/>
      <c r="C26" s="90"/>
      <c r="D26" s="273" t="s">
        <v>367</v>
      </c>
      <c r="E26" s="3"/>
      <c r="F26" s="3"/>
      <c r="G26" s="3"/>
      <c r="H26" s="3"/>
      <c r="I26" s="3"/>
      <c r="J26" s="21"/>
    </row>
    <row r="27" spans="2:11" ht="15.75" thickBot="1" x14ac:dyDescent="0.3">
      <c r="B27" s="1046"/>
      <c r="C27" s="90"/>
      <c r="D27" s="1027" t="s">
        <v>368</v>
      </c>
      <c r="E27" s="1028"/>
      <c r="F27" s="1028"/>
      <c r="G27" s="1028"/>
      <c r="H27" s="1028"/>
      <c r="I27" s="1028"/>
      <c r="J27" s="1029"/>
    </row>
    <row r="28" spans="2:11" ht="15.75" thickBot="1" x14ac:dyDescent="0.3">
      <c r="B28" s="1046"/>
      <c r="C28" s="92"/>
      <c r="D28" s="38" t="s">
        <v>150</v>
      </c>
      <c r="E28" s="38" t="s">
        <v>20</v>
      </c>
      <c r="F28" s="38" t="s">
        <v>21</v>
      </c>
      <c r="G28" s="38" t="s">
        <v>22</v>
      </c>
      <c r="H28" s="38" t="s">
        <v>23</v>
      </c>
      <c r="I28" s="38" t="s">
        <v>151</v>
      </c>
      <c r="J28" s="21"/>
    </row>
    <row r="29" spans="2:11" ht="15.75" thickBot="1" x14ac:dyDescent="0.3">
      <c r="B29" s="1046"/>
      <c r="C29" s="92"/>
      <c r="D29" s="39" t="s">
        <v>369</v>
      </c>
      <c r="E29" s="204">
        <v>1</v>
      </c>
      <c r="F29" s="204">
        <v>0</v>
      </c>
      <c r="G29" s="204">
        <v>0</v>
      </c>
      <c r="H29" s="204">
        <v>0</v>
      </c>
      <c r="I29" s="134">
        <f>SUM(E29:H29)</f>
        <v>1</v>
      </c>
      <c r="J29" s="21"/>
    </row>
    <row r="30" spans="2:11" ht="15.75" thickBot="1" x14ac:dyDescent="0.3">
      <c r="B30" s="1046"/>
      <c r="C30" s="92"/>
      <c r="D30" s="39" t="s">
        <v>370</v>
      </c>
      <c r="E30" s="204"/>
      <c r="F30" s="204"/>
      <c r="G30" s="204"/>
      <c r="H30" s="204"/>
      <c r="I30" s="274"/>
      <c r="J30" s="21"/>
    </row>
    <row r="31" spans="2:11" ht="15.75" thickBot="1" x14ac:dyDescent="0.3">
      <c r="B31" s="1046"/>
      <c r="C31" s="92"/>
      <c r="D31" s="39" t="s">
        <v>371</v>
      </c>
      <c r="E31" s="204"/>
      <c r="F31" s="204"/>
      <c r="G31" s="204"/>
      <c r="H31" s="204"/>
      <c r="I31" s="274"/>
      <c r="J31" s="21"/>
    </row>
    <row r="32" spans="2:11" ht="15.75" thickBot="1" x14ac:dyDescent="0.3">
      <c r="B32" s="1046"/>
      <c r="C32" s="92"/>
      <c r="D32" s="39" t="s">
        <v>372</v>
      </c>
      <c r="E32" s="204"/>
      <c r="F32" s="204"/>
      <c r="G32" s="204"/>
      <c r="H32" s="204"/>
      <c r="I32" s="274"/>
      <c r="J32" s="21"/>
    </row>
    <row r="33" spans="2:10" ht="15.75" thickBot="1" x14ac:dyDescent="0.3">
      <c r="B33" s="1046"/>
      <c r="C33" s="92"/>
      <c r="D33" s="39" t="s">
        <v>373</v>
      </c>
      <c r="E33" s="204"/>
      <c r="F33" s="204"/>
      <c r="G33" s="204"/>
      <c r="H33" s="204"/>
      <c r="I33" s="274"/>
      <c r="J33" s="21"/>
    </row>
    <row r="34" spans="2:10" ht="15.75" thickBot="1" x14ac:dyDescent="0.3">
      <c r="B34" s="1046"/>
      <c r="C34" s="92"/>
      <c r="D34" s="39" t="s">
        <v>1207</v>
      </c>
      <c r="E34" s="270">
        <v>1</v>
      </c>
      <c r="F34" s="270"/>
      <c r="G34" s="270"/>
      <c r="H34" s="270"/>
      <c r="I34" s="274"/>
      <c r="J34" s="21"/>
    </row>
    <row r="35" spans="2:10" ht="15.75" thickBot="1" x14ac:dyDescent="0.3">
      <c r="B35" s="1046"/>
      <c r="C35" s="92"/>
      <c r="D35" s="39" t="s">
        <v>151</v>
      </c>
      <c r="E35" s="134">
        <f>SUM(E30:E34)</f>
        <v>1</v>
      </c>
      <c r="F35" s="134">
        <f>SUM(F30:F34)</f>
        <v>0</v>
      </c>
      <c r="G35" s="134">
        <f>SUM(G30:G34)</f>
        <v>0</v>
      </c>
      <c r="H35" s="134">
        <f>SUM(H30:H34)</f>
        <v>0</v>
      </c>
      <c r="I35" s="274"/>
      <c r="J35" s="21"/>
    </row>
    <row r="36" spans="2:10" x14ac:dyDescent="0.25">
      <c r="B36" s="1046"/>
      <c r="C36" s="90"/>
      <c r="D36" s="1027" t="s">
        <v>374</v>
      </c>
      <c r="E36" s="1028"/>
      <c r="F36" s="1028"/>
      <c r="G36" s="1028"/>
      <c r="H36" s="1028"/>
      <c r="I36" s="1028"/>
      <c r="J36" s="1029"/>
    </row>
    <row r="37" spans="2:10" x14ac:dyDescent="0.25">
      <c r="B37" s="1046"/>
      <c r="C37" s="90"/>
      <c r="D37" s="1027" t="s">
        <v>375</v>
      </c>
      <c r="E37" s="1028"/>
      <c r="F37" s="1028"/>
      <c r="G37" s="1028"/>
      <c r="H37" s="1028"/>
      <c r="I37" s="1028"/>
      <c r="J37" s="1029"/>
    </row>
    <row r="38" spans="2:10" ht="15.75" thickBot="1" x14ac:dyDescent="0.3">
      <c r="B38" s="1046"/>
      <c r="C38" s="90"/>
      <c r="D38" s="1039" t="s">
        <v>376</v>
      </c>
      <c r="E38" s="1040"/>
      <c r="F38" s="1040"/>
      <c r="G38" s="1040"/>
      <c r="H38" s="1040"/>
      <c r="I38" s="1040"/>
      <c r="J38" s="1041"/>
    </row>
    <row r="39" spans="2:10" ht="15.75" thickBot="1" x14ac:dyDescent="0.3">
      <c r="B39" s="1046"/>
      <c r="C39" s="92"/>
      <c r="D39" s="38" t="s">
        <v>150</v>
      </c>
      <c r="E39" s="38" t="s">
        <v>20</v>
      </c>
      <c r="F39" s="38" t="s">
        <v>21</v>
      </c>
      <c r="G39" s="38" t="s">
        <v>22</v>
      </c>
      <c r="H39" s="38" t="s">
        <v>23</v>
      </c>
      <c r="I39" s="38" t="s">
        <v>151</v>
      </c>
      <c r="J39" s="21"/>
    </row>
    <row r="40" spans="2:10" ht="15.75" thickBot="1" x14ac:dyDescent="0.3">
      <c r="B40" s="1046"/>
      <c r="C40" s="92"/>
      <c r="D40" s="39" t="s">
        <v>369</v>
      </c>
      <c r="E40" s="205">
        <v>25574</v>
      </c>
      <c r="F40" s="205">
        <v>0</v>
      </c>
      <c r="G40" s="205">
        <v>0</v>
      </c>
      <c r="H40" s="205">
        <v>0</v>
      </c>
      <c r="I40" s="134">
        <f>SUM(E40:H40)</f>
        <v>25574</v>
      </c>
      <c r="J40" s="21"/>
    </row>
    <row r="41" spans="2:10" ht="15.75" thickBot="1" x14ac:dyDescent="0.3">
      <c r="B41" s="1046"/>
      <c r="C41" s="92"/>
      <c r="D41" s="39" t="s">
        <v>370</v>
      </c>
      <c r="E41" s="205"/>
      <c r="F41" s="205"/>
      <c r="G41" s="205"/>
      <c r="H41" s="205"/>
      <c r="I41" s="275"/>
      <c r="J41" s="21"/>
    </row>
    <row r="42" spans="2:10" ht="15.75" thickBot="1" x14ac:dyDescent="0.3">
      <c r="B42" s="1046"/>
      <c r="C42" s="92"/>
      <c r="D42" s="39" t="s">
        <v>371</v>
      </c>
      <c r="E42" s="205"/>
      <c r="F42" s="205"/>
      <c r="G42" s="205"/>
      <c r="H42" s="205"/>
      <c r="I42" s="275"/>
      <c r="J42" s="21"/>
    </row>
    <row r="43" spans="2:10" ht="15.75" thickBot="1" x14ac:dyDescent="0.3">
      <c r="B43" s="1046"/>
      <c r="C43" s="92"/>
      <c r="D43" s="39" t="s">
        <v>372</v>
      </c>
      <c r="E43" s="205"/>
      <c r="F43" s="205"/>
      <c r="G43" s="205"/>
      <c r="H43" s="205"/>
      <c r="I43" s="275"/>
      <c r="J43" s="21"/>
    </row>
    <row r="44" spans="2:10" ht="15.75" thickBot="1" x14ac:dyDescent="0.3">
      <c r="B44" s="1046"/>
      <c r="C44" s="92"/>
      <c r="D44" s="39" t="s">
        <v>373</v>
      </c>
      <c r="E44" s="205"/>
      <c r="F44" s="205"/>
      <c r="G44" s="205"/>
      <c r="H44" s="205"/>
      <c r="I44" s="275"/>
      <c r="J44" s="21"/>
    </row>
    <row r="45" spans="2:10" ht="15.75" thickBot="1" x14ac:dyDescent="0.3">
      <c r="B45" s="1046"/>
      <c r="C45" s="92"/>
      <c r="D45" s="39" t="s">
        <v>1207</v>
      </c>
      <c r="E45" s="205">
        <v>25574</v>
      </c>
      <c r="F45" s="205"/>
      <c r="G45" s="205"/>
      <c r="H45" s="205"/>
      <c r="I45" s="275"/>
      <c r="J45" s="21"/>
    </row>
    <row r="46" spans="2:10" ht="15.75" thickBot="1" x14ac:dyDescent="0.3">
      <c r="B46" s="1046"/>
      <c r="C46" s="92"/>
      <c r="D46" s="39" t="s">
        <v>151</v>
      </c>
      <c r="E46" s="134">
        <f>SUM(E41:E45)</f>
        <v>25574</v>
      </c>
      <c r="F46" s="134">
        <f>SUM(F41:F45)</f>
        <v>0</v>
      </c>
      <c r="G46" s="134">
        <f>SUM(G41:G45)</f>
        <v>0</v>
      </c>
      <c r="H46" s="134">
        <f>SUM(H41:H45)</f>
        <v>0</v>
      </c>
      <c r="I46" s="275"/>
      <c r="J46" s="21"/>
    </row>
    <row r="47" spans="2:10" x14ac:dyDescent="0.25">
      <c r="B47" s="1046"/>
      <c r="C47" s="90"/>
      <c r="D47" s="1027" t="s">
        <v>377</v>
      </c>
      <c r="E47" s="1028"/>
      <c r="F47" s="1028"/>
      <c r="G47" s="1028"/>
      <c r="H47" s="1028"/>
      <c r="I47" s="1028"/>
      <c r="J47" s="1029"/>
    </row>
    <row r="48" spans="2:10" x14ac:dyDescent="0.25">
      <c r="B48" s="1046"/>
      <c r="C48" s="90"/>
      <c r="D48" s="1027" t="s">
        <v>378</v>
      </c>
      <c r="E48" s="1028"/>
      <c r="F48" s="1028"/>
      <c r="G48" s="1028"/>
      <c r="H48" s="1028"/>
      <c r="I48" s="1028"/>
      <c r="J48" s="1029"/>
    </row>
    <row r="49" spans="2:10" x14ac:dyDescent="0.25">
      <c r="B49" s="1046"/>
      <c r="C49" s="90"/>
      <c r="D49" s="1039" t="s">
        <v>379</v>
      </c>
      <c r="E49" s="1040"/>
      <c r="F49" s="1040"/>
      <c r="G49" s="1040"/>
      <c r="H49" s="1040"/>
      <c r="I49" s="1040"/>
      <c r="J49" s="1041"/>
    </row>
    <row r="50" spans="2:10" ht="15.75" thickBot="1" x14ac:dyDescent="0.3">
      <c r="B50" s="1046"/>
      <c r="C50" s="90"/>
      <c r="D50" s="1027" t="s">
        <v>368</v>
      </c>
      <c r="E50" s="1028"/>
      <c r="F50" s="1028"/>
      <c r="G50" s="1028"/>
      <c r="H50" s="1028"/>
      <c r="I50" s="1028"/>
      <c r="J50" s="1029"/>
    </row>
    <row r="51" spans="2:10" ht="15.75" thickBot="1" x14ac:dyDescent="0.3">
      <c r="B51" s="1046"/>
      <c r="C51" s="92"/>
      <c r="D51" s="38" t="s">
        <v>150</v>
      </c>
      <c r="E51" s="38" t="s">
        <v>20</v>
      </c>
      <c r="F51" s="38" t="s">
        <v>21</v>
      </c>
      <c r="G51" s="38" t="s">
        <v>22</v>
      </c>
      <c r="H51" s="38" t="s">
        <v>23</v>
      </c>
      <c r="I51" s="38" t="s">
        <v>151</v>
      </c>
      <c r="J51" s="21"/>
    </row>
    <row r="52" spans="2:10" ht="15.75" thickBot="1" x14ac:dyDescent="0.3">
      <c r="B52" s="1046"/>
      <c r="C52" s="92"/>
      <c r="D52" s="39" t="s">
        <v>369</v>
      </c>
      <c r="E52" s="6"/>
      <c r="F52" s="6"/>
      <c r="G52" s="6"/>
      <c r="H52" s="6"/>
      <c r="I52" s="41">
        <f>SUM(E52:H52)</f>
        <v>0</v>
      </c>
      <c r="J52" s="21"/>
    </row>
    <row r="53" spans="2:10" ht="15.75" thickBot="1" x14ac:dyDescent="0.3">
      <c r="B53" s="1046"/>
      <c r="C53" s="92"/>
      <c r="D53" s="39" t="s">
        <v>370</v>
      </c>
      <c r="E53" s="6"/>
      <c r="F53" s="6"/>
      <c r="G53" s="6"/>
      <c r="H53" s="6"/>
      <c r="I53" s="276"/>
      <c r="J53" s="21"/>
    </row>
    <row r="54" spans="2:10" ht="15.75" thickBot="1" x14ac:dyDescent="0.3">
      <c r="B54" s="1046"/>
      <c r="C54" s="92"/>
      <c r="D54" s="39" t="s">
        <v>371</v>
      </c>
      <c r="E54" s="6"/>
      <c r="F54" s="6"/>
      <c r="G54" s="6"/>
      <c r="H54" s="6"/>
      <c r="I54" s="276"/>
      <c r="J54" s="21"/>
    </row>
    <row r="55" spans="2:10" ht="15.75" thickBot="1" x14ac:dyDescent="0.3">
      <c r="B55" s="1046"/>
      <c r="C55" s="92"/>
      <c r="D55" s="39" t="s">
        <v>372</v>
      </c>
      <c r="E55" s="6"/>
      <c r="F55" s="6"/>
      <c r="G55" s="6"/>
      <c r="H55" s="6"/>
      <c r="I55" s="276"/>
      <c r="J55" s="21"/>
    </row>
    <row r="56" spans="2:10" ht="15.75" thickBot="1" x14ac:dyDescent="0.3">
      <c r="B56" s="1046"/>
      <c r="C56" s="92"/>
      <c r="D56" s="39" t="s">
        <v>373</v>
      </c>
      <c r="E56" s="6"/>
      <c r="F56" s="6"/>
      <c r="G56" s="6"/>
      <c r="H56" s="6"/>
      <c r="I56" s="276"/>
      <c r="J56" s="21"/>
    </row>
    <row r="57" spans="2:10" ht="15.75" thickBot="1" x14ac:dyDescent="0.3">
      <c r="B57" s="1046"/>
      <c r="C57" s="92"/>
      <c r="D57" s="39" t="s">
        <v>1207</v>
      </c>
      <c r="E57" s="271"/>
      <c r="F57" s="271"/>
      <c r="G57" s="271"/>
      <c r="H57" s="271"/>
      <c r="I57" s="276"/>
      <c r="J57" s="21"/>
    </row>
    <row r="58" spans="2:10" ht="15.75" thickBot="1" x14ac:dyDescent="0.3">
      <c r="B58" s="1046"/>
      <c r="C58" s="92"/>
      <c r="D58" s="39" t="s">
        <v>151</v>
      </c>
      <c r="E58" s="134">
        <f>SUM(E53:E57)</f>
        <v>0</v>
      </c>
      <c r="F58" s="134">
        <f>SUM(F53:F57)</f>
        <v>0</v>
      </c>
      <c r="G58" s="134">
        <f>SUM(G53:G57)</f>
        <v>0</v>
      </c>
      <c r="H58" s="134">
        <f>SUM(H53:H57)</f>
        <v>0</v>
      </c>
      <c r="I58" s="276"/>
      <c r="J58" s="21"/>
    </row>
    <row r="59" spans="2:10" x14ac:dyDescent="0.25">
      <c r="B59" s="1046"/>
      <c r="C59" s="90"/>
      <c r="D59" s="1027" t="s">
        <v>374</v>
      </c>
      <c r="E59" s="1028"/>
      <c r="F59" s="1028"/>
      <c r="G59" s="1028"/>
      <c r="H59" s="1028"/>
      <c r="I59" s="1028"/>
      <c r="J59" s="1029"/>
    </row>
    <row r="60" spans="2:10" x14ac:dyDescent="0.25">
      <c r="B60" s="1046"/>
      <c r="C60" s="90"/>
      <c r="D60" s="1027" t="s">
        <v>375</v>
      </c>
      <c r="E60" s="1028"/>
      <c r="F60" s="1028"/>
      <c r="G60" s="1028"/>
      <c r="H60" s="1028"/>
      <c r="I60" s="1028"/>
      <c r="J60" s="1029"/>
    </row>
    <row r="61" spans="2:10" ht="15.75" thickBot="1" x14ac:dyDescent="0.3">
      <c r="B61" s="1046"/>
      <c r="C61" s="90"/>
      <c r="D61" s="1039" t="s">
        <v>376</v>
      </c>
      <c r="E61" s="1040"/>
      <c r="F61" s="1040"/>
      <c r="G61" s="1040"/>
      <c r="H61" s="1040"/>
      <c r="I61" s="1040"/>
      <c r="J61" s="1041"/>
    </row>
    <row r="62" spans="2:10" ht="15.75" thickBot="1" x14ac:dyDescent="0.3">
      <c r="B62" s="1046"/>
      <c r="C62" s="92"/>
      <c r="D62" s="38" t="s">
        <v>150</v>
      </c>
      <c r="E62" s="38" t="s">
        <v>20</v>
      </c>
      <c r="F62" s="38" t="s">
        <v>21</v>
      </c>
      <c r="G62" s="38" t="s">
        <v>22</v>
      </c>
      <c r="H62" s="38" t="s">
        <v>23</v>
      </c>
      <c r="I62" s="38" t="s">
        <v>151</v>
      </c>
      <c r="J62" s="21"/>
    </row>
    <row r="63" spans="2:10" ht="15.75" thickBot="1" x14ac:dyDescent="0.3">
      <c r="B63" s="1046"/>
      <c r="C63" s="92"/>
      <c r="D63" s="39" t="s">
        <v>369</v>
      </c>
      <c r="E63" s="184"/>
      <c r="F63" s="184"/>
      <c r="G63" s="184"/>
      <c r="H63" s="184"/>
      <c r="I63" s="134">
        <f>SUM(E63:H63)</f>
        <v>0</v>
      </c>
      <c r="J63" s="21"/>
    </row>
    <row r="64" spans="2:10" ht="15.75" thickBot="1" x14ac:dyDescent="0.3">
      <c r="B64" s="1046"/>
      <c r="C64" s="92"/>
      <c r="D64" s="39" t="s">
        <v>370</v>
      </c>
      <c r="E64" s="184"/>
      <c r="F64" s="184"/>
      <c r="G64" s="184"/>
      <c r="H64" s="184"/>
      <c r="I64" s="276"/>
      <c r="J64" s="21"/>
    </row>
    <row r="65" spans="2:11" ht="15.75" thickBot="1" x14ac:dyDescent="0.3">
      <c r="B65" s="1046"/>
      <c r="C65" s="92"/>
      <c r="D65" s="39" t="s">
        <v>371</v>
      </c>
      <c r="E65" s="184"/>
      <c r="F65" s="184"/>
      <c r="G65" s="184"/>
      <c r="H65" s="184"/>
      <c r="I65" s="276"/>
      <c r="J65" s="21"/>
    </row>
    <row r="66" spans="2:11" ht="15.75" thickBot="1" x14ac:dyDescent="0.3">
      <c r="B66" s="1046"/>
      <c r="C66" s="92"/>
      <c r="D66" s="39" t="s">
        <v>372</v>
      </c>
      <c r="E66" s="184"/>
      <c r="F66" s="184"/>
      <c r="G66" s="184"/>
      <c r="H66" s="184"/>
      <c r="I66" s="276"/>
      <c r="J66" s="21"/>
    </row>
    <row r="67" spans="2:11" ht="15.75" thickBot="1" x14ac:dyDescent="0.3">
      <c r="B67" s="1046"/>
      <c r="C67" s="92"/>
      <c r="D67" s="39" t="s">
        <v>373</v>
      </c>
      <c r="E67" s="184"/>
      <c r="F67" s="184"/>
      <c r="G67" s="184"/>
      <c r="H67" s="184"/>
      <c r="I67" s="276"/>
      <c r="J67" s="21"/>
    </row>
    <row r="68" spans="2:11" ht="15.75" thickBot="1" x14ac:dyDescent="0.3">
      <c r="B68" s="1046"/>
      <c r="C68" s="92"/>
      <c r="D68" s="39" t="s">
        <v>1206</v>
      </c>
      <c r="E68" s="184"/>
      <c r="F68" s="184"/>
      <c r="G68" s="184"/>
      <c r="H68" s="184"/>
      <c r="I68" s="276"/>
      <c r="J68" s="21"/>
    </row>
    <row r="69" spans="2:11" ht="15.75" thickBot="1" x14ac:dyDescent="0.3">
      <c r="B69" s="1046"/>
      <c r="C69" s="92"/>
      <c r="D69" s="39" t="s">
        <v>151</v>
      </c>
      <c r="E69" s="134">
        <f>SUM(E64:E68)</f>
        <v>0</v>
      </c>
      <c r="F69" s="134">
        <f>SUM(F64:F68)</f>
        <v>0</v>
      </c>
      <c r="G69" s="134">
        <f>SUM(G64:G68)</f>
        <v>0</v>
      </c>
      <c r="H69" s="134">
        <f>SUM(H64:H68)</f>
        <v>0</v>
      </c>
      <c r="I69" s="276"/>
      <c r="J69" s="21"/>
    </row>
    <row r="70" spans="2:11" x14ac:dyDescent="0.25">
      <c r="B70" s="1046"/>
      <c r="C70" s="90"/>
      <c r="D70" s="1027" t="s">
        <v>377</v>
      </c>
      <c r="E70" s="1028"/>
      <c r="F70" s="1028"/>
      <c r="G70" s="1028"/>
      <c r="H70" s="1028"/>
      <c r="I70" s="1028"/>
      <c r="J70" s="1029"/>
    </row>
    <row r="71" spans="2:11" x14ac:dyDescent="0.25">
      <c r="B71" s="1046"/>
      <c r="C71" s="90"/>
      <c r="D71" s="1027" t="s">
        <v>378</v>
      </c>
      <c r="E71" s="1028"/>
      <c r="F71" s="1028"/>
      <c r="G71" s="1028"/>
      <c r="H71" s="1028"/>
      <c r="I71" s="1028"/>
      <c r="J71" s="1029"/>
    </row>
    <row r="72" spans="2:11" ht="15.75" thickBot="1" x14ac:dyDescent="0.3">
      <c r="B72" s="1046"/>
      <c r="C72" s="90"/>
      <c r="D72" s="1030" t="s">
        <v>380</v>
      </c>
      <c r="E72" s="1031"/>
      <c r="F72" s="1031"/>
      <c r="G72" s="1031"/>
      <c r="H72" s="1031"/>
      <c r="I72" s="1031"/>
      <c r="J72" s="1032"/>
    </row>
    <row r="73" spans="2:11" ht="33" customHeight="1" x14ac:dyDescent="0.25">
      <c r="B73" s="1046"/>
      <c r="C73" s="92"/>
      <c r="D73" s="1038" t="s">
        <v>381</v>
      </c>
      <c r="E73" s="1045" t="s">
        <v>382</v>
      </c>
      <c r="F73" s="1045" t="s">
        <v>383</v>
      </c>
      <c r="G73" s="1045" t="s">
        <v>384</v>
      </c>
      <c r="H73" s="1045" t="s">
        <v>385</v>
      </c>
      <c r="I73" s="1045" t="s">
        <v>386</v>
      </c>
      <c r="J73" s="62" t="s">
        <v>387</v>
      </c>
      <c r="K73" s="5"/>
    </row>
    <row r="74" spans="2:11" ht="33.75" customHeight="1" thickBot="1" x14ac:dyDescent="0.3">
      <c r="B74" s="1046"/>
      <c r="C74" s="92"/>
      <c r="D74" s="1053"/>
      <c r="E74" s="1047"/>
      <c r="F74" s="1047"/>
      <c r="G74" s="1047"/>
      <c r="H74" s="1047"/>
      <c r="I74" s="1047"/>
      <c r="J74" s="40" t="s">
        <v>388</v>
      </c>
      <c r="K74" s="5"/>
    </row>
    <row r="75" spans="2:11" ht="154.5" customHeight="1" thickBot="1" x14ac:dyDescent="0.3">
      <c r="B75" s="1046"/>
      <c r="C75" s="92"/>
      <c r="D75" s="29" t="s">
        <v>1822</v>
      </c>
      <c r="E75" s="29" t="s">
        <v>1823</v>
      </c>
      <c r="F75" s="29" t="s">
        <v>1824</v>
      </c>
      <c r="G75" s="184">
        <v>25574</v>
      </c>
      <c r="H75" s="184">
        <v>25574</v>
      </c>
      <c r="I75" s="29" t="s">
        <v>1825</v>
      </c>
      <c r="J75" s="29" t="s">
        <v>1826</v>
      </c>
      <c r="K75" s="5"/>
    </row>
    <row r="76" spans="2:11" ht="15.75" thickBot="1" x14ac:dyDescent="0.3">
      <c r="B76" s="1046"/>
      <c r="C76" s="92"/>
      <c r="D76" s="29"/>
      <c r="E76" s="29"/>
      <c r="F76" s="29"/>
      <c r="G76" s="184"/>
      <c r="H76" s="184"/>
      <c r="I76" s="29"/>
      <c r="J76" s="29"/>
      <c r="K76" s="5"/>
    </row>
    <row r="77" spans="2:11" ht="15.75" thickBot="1" x14ac:dyDescent="0.3">
      <c r="B77" s="1046"/>
      <c r="C77" s="92"/>
      <c r="D77" s="29"/>
      <c r="E77" s="29"/>
      <c r="F77" s="29"/>
      <c r="G77" s="184"/>
      <c r="H77" s="184"/>
      <c r="I77" s="29"/>
      <c r="J77" s="29"/>
      <c r="K77" s="5"/>
    </row>
    <row r="78" spans="2:11" ht="15.75" thickBot="1" x14ac:dyDescent="0.3">
      <c r="B78" s="1046"/>
      <c r="C78" s="92"/>
      <c r="D78" s="29"/>
      <c r="E78" s="29"/>
      <c r="F78" s="29"/>
      <c r="G78" s="184"/>
      <c r="H78" s="184"/>
      <c r="I78" s="29"/>
      <c r="J78" s="29"/>
      <c r="K78" s="5"/>
    </row>
    <row r="79" spans="2:11" ht="15.75" thickBot="1" x14ac:dyDescent="0.3">
      <c r="B79" s="1046"/>
      <c r="C79" s="92"/>
      <c r="D79" s="29"/>
      <c r="E79" s="29"/>
      <c r="F79" s="29"/>
      <c r="G79" s="184"/>
      <c r="H79" s="184"/>
      <c r="I79" s="29"/>
      <c r="J79" s="29"/>
      <c r="K79" s="5"/>
    </row>
    <row r="80" spans="2:11" ht="15.75" thickBot="1" x14ac:dyDescent="0.3">
      <c r="B80" s="1046"/>
      <c r="C80" s="92"/>
      <c r="D80" s="29"/>
      <c r="E80" s="29"/>
      <c r="F80" s="29"/>
      <c r="G80" s="184"/>
      <c r="H80" s="184"/>
      <c r="I80" s="29"/>
      <c r="J80" s="29"/>
      <c r="K80" s="5"/>
    </row>
    <row r="81" spans="2:11" ht="15.75" thickBot="1" x14ac:dyDescent="0.3">
      <c r="B81" s="1046"/>
      <c r="C81" s="92"/>
      <c r="D81" s="29"/>
      <c r="E81" s="29"/>
      <c r="F81" s="29"/>
      <c r="G81" s="184"/>
      <c r="H81" s="184"/>
      <c r="I81" s="29"/>
      <c r="J81" s="29"/>
      <c r="K81" s="5"/>
    </row>
    <row r="82" spans="2:11" ht="15.75" thickBot="1" x14ac:dyDescent="0.3">
      <c r="B82" s="1046"/>
      <c r="C82" s="92"/>
      <c r="D82" s="29"/>
      <c r="E82" s="29"/>
      <c r="F82" s="29"/>
      <c r="G82" s="184"/>
      <c r="H82" s="184"/>
      <c r="I82" s="29"/>
      <c r="J82" s="29"/>
      <c r="K82" s="5"/>
    </row>
    <row r="83" spans="2:11" ht="15.75" thickBot="1" x14ac:dyDescent="0.3">
      <c r="B83" s="1046"/>
      <c r="C83" s="92"/>
      <c r="D83" s="29"/>
      <c r="E83" s="29"/>
      <c r="F83" s="29"/>
      <c r="G83" s="184"/>
      <c r="H83" s="184"/>
      <c r="I83" s="29"/>
      <c r="J83" s="29"/>
      <c r="K83" s="5"/>
    </row>
    <row r="84" spans="2:11" ht="15.75" thickBot="1" x14ac:dyDescent="0.3">
      <c r="B84" s="1046"/>
      <c r="C84" s="92"/>
      <c r="D84" s="29"/>
      <c r="E84" s="29"/>
      <c r="F84" s="29"/>
      <c r="G84" s="184"/>
      <c r="H84" s="184"/>
      <c r="I84" s="29"/>
      <c r="J84" s="29"/>
      <c r="K84" s="5"/>
    </row>
    <row r="85" spans="2:11" ht="15.75" thickBot="1" x14ac:dyDescent="0.3">
      <c r="B85" s="1046"/>
      <c r="C85" s="92"/>
      <c r="D85" s="29"/>
      <c r="E85" s="29"/>
      <c r="F85" s="29"/>
      <c r="G85" s="184"/>
      <c r="H85" s="184"/>
      <c r="I85" s="29"/>
      <c r="J85" s="29"/>
      <c r="K85" s="5"/>
    </row>
    <row r="86" spans="2:11" ht="15.75" thickBot="1" x14ac:dyDescent="0.3">
      <c r="B86" s="1046"/>
      <c r="C86" s="92"/>
      <c r="D86" s="29"/>
      <c r="E86" s="29"/>
      <c r="F86" s="29"/>
      <c r="G86" s="184"/>
      <c r="H86" s="184"/>
      <c r="I86" s="29"/>
      <c r="J86" s="29"/>
      <c r="K86" s="5"/>
    </row>
    <row r="87" spans="2:11" ht="15.75" thickBot="1" x14ac:dyDescent="0.3">
      <c r="B87" s="1046"/>
      <c r="C87" s="92"/>
      <c r="D87" s="29"/>
      <c r="E87" s="29"/>
      <c r="F87" s="29"/>
      <c r="G87" s="184"/>
      <c r="H87" s="184"/>
      <c r="I87" s="29"/>
      <c r="J87" s="29"/>
      <c r="K87" s="5"/>
    </row>
    <row r="88" spans="2:11" ht="15.75" thickBot="1" x14ac:dyDescent="0.3">
      <c r="B88" s="1046"/>
      <c r="C88" s="92"/>
      <c r="D88" s="29"/>
      <c r="E88" s="29"/>
      <c r="F88" s="29"/>
      <c r="G88" s="184"/>
      <c r="H88" s="184"/>
      <c r="I88" s="29"/>
      <c r="J88" s="29"/>
      <c r="K88" s="5"/>
    </row>
    <row r="89" spans="2:11" x14ac:dyDescent="0.25">
      <c r="B89" s="1046"/>
      <c r="C89" s="90"/>
      <c r="D89" s="1036" t="s">
        <v>389</v>
      </c>
      <c r="E89" s="1037"/>
      <c r="F89" s="1037"/>
      <c r="G89" s="1037"/>
      <c r="H89" s="1037"/>
      <c r="I89" s="1037"/>
      <c r="J89" s="1038"/>
      <c r="K89" s="5"/>
    </row>
    <row r="90" spans="2:11" ht="15.75" thickBot="1" x14ac:dyDescent="0.3">
      <c r="B90" s="1046"/>
      <c r="C90" s="90"/>
      <c r="D90" s="1051" t="s">
        <v>390</v>
      </c>
      <c r="E90" s="1052"/>
      <c r="F90" s="1052"/>
      <c r="G90" s="1052"/>
      <c r="H90" s="1052"/>
      <c r="I90" s="1052"/>
      <c r="J90" s="1053"/>
      <c r="K90" s="5"/>
    </row>
    <row r="91" spans="2:11" x14ac:dyDescent="0.25">
      <c r="B91" s="1046"/>
      <c r="C91" s="90"/>
      <c r="D91" s="232"/>
      <c r="E91" s="128"/>
      <c r="F91" s="128"/>
      <c r="G91" s="128"/>
      <c r="H91" s="128"/>
      <c r="I91" s="128"/>
      <c r="J91" s="45"/>
      <c r="K91" s="5"/>
    </row>
    <row r="92" spans="2:11" ht="15.75" thickBot="1" x14ac:dyDescent="0.3">
      <c r="B92" s="1046"/>
      <c r="C92" s="90"/>
      <c r="D92" s="232" t="s">
        <v>1208</v>
      </c>
      <c r="E92" s="128"/>
      <c r="F92" s="128"/>
      <c r="G92" s="128"/>
      <c r="H92" s="128"/>
      <c r="I92" s="128"/>
      <c r="J92" s="45"/>
      <c r="K92" s="5"/>
    </row>
    <row r="93" spans="2:11" x14ac:dyDescent="0.25">
      <c r="B93" s="1046"/>
      <c r="C93" s="90"/>
      <c r="D93" s="277" t="s">
        <v>150</v>
      </c>
      <c r="E93" s="278" t="s">
        <v>20</v>
      </c>
      <c r="F93" s="278" t="s">
        <v>21</v>
      </c>
      <c r="G93" s="278" t="s">
        <v>22</v>
      </c>
      <c r="H93" s="278" t="s">
        <v>23</v>
      </c>
      <c r="I93" s="279" t="s">
        <v>151</v>
      </c>
      <c r="J93" s="45"/>
      <c r="K93" s="5"/>
    </row>
    <row r="94" spans="2:11" x14ac:dyDescent="0.25">
      <c r="B94" s="1046"/>
      <c r="C94" s="90"/>
      <c r="D94" s="280" t="s">
        <v>1209</v>
      </c>
      <c r="E94" s="281">
        <f>+E63+E40</f>
        <v>25574</v>
      </c>
      <c r="F94" s="281">
        <f>+F63+F40</f>
        <v>0</v>
      </c>
      <c r="G94" s="281">
        <f>+G63+G40</f>
        <v>0</v>
      </c>
      <c r="H94" s="281">
        <f>+H63+H40</f>
        <v>0</v>
      </c>
      <c r="I94" s="282">
        <f>SUM(E94:H94)</f>
        <v>25574</v>
      </c>
      <c r="J94" s="45"/>
      <c r="K94" s="5"/>
    </row>
    <row r="95" spans="2:11" ht="36" x14ac:dyDescent="0.25">
      <c r="B95" s="1046"/>
      <c r="C95" s="90"/>
      <c r="D95" s="283" t="s">
        <v>1210</v>
      </c>
      <c r="E95" s="281">
        <f>+E68+E45</f>
        <v>25574</v>
      </c>
      <c r="F95" s="281">
        <f>+F68+F45</f>
        <v>0</v>
      </c>
      <c r="G95" s="281">
        <f>+G68+G45</f>
        <v>0</v>
      </c>
      <c r="H95" s="281">
        <f>+H68+H45</f>
        <v>0</v>
      </c>
      <c r="I95" s="282">
        <f>SUM(E95:H95)</f>
        <v>25574</v>
      </c>
      <c r="J95" s="45"/>
      <c r="K95" s="5"/>
    </row>
    <row r="96" spans="2:11" ht="48.75" thickBot="1" x14ac:dyDescent="0.3">
      <c r="B96" s="1046"/>
      <c r="C96" s="90"/>
      <c r="D96" s="283" t="s">
        <v>348</v>
      </c>
      <c r="E96" s="284">
        <f>IFERROR(E95/E94,"N.A.")</f>
        <v>1</v>
      </c>
      <c r="F96" s="284" t="str">
        <f>IFERROR(F95/F94,"N.A.")</f>
        <v>N.A.</v>
      </c>
      <c r="G96" s="284" t="str">
        <f>IFERROR(G95/G94,"N.A.")</f>
        <v>N.A.</v>
      </c>
      <c r="H96" s="284" t="str">
        <f>IFERROR(H95/H94,"N.A.")</f>
        <v>N.A.</v>
      </c>
      <c r="I96" s="284">
        <f>IFERROR(I95/I94,"N.A.")</f>
        <v>1</v>
      </c>
      <c r="J96" s="45"/>
      <c r="K96" s="5"/>
    </row>
    <row r="97" spans="2:11" ht="24" customHeight="1" thickBot="1" x14ac:dyDescent="0.3">
      <c r="B97" s="1047"/>
      <c r="C97" s="91"/>
      <c r="J97" s="45"/>
      <c r="K97" s="5"/>
    </row>
    <row r="98" spans="2:11" ht="24" customHeight="1" thickBot="1" x14ac:dyDescent="0.3">
      <c r="B98" s="46" t="s">
        <v>34</v>
      </c>
      <c r="C98" s="91"/>
      <c r="D98" s="1048" t="s">
        <v>391</v>
      </c>
      <c r="E98" s="1049"/>
      <c r="F98" s="1049"/>
      <c r="G98" s="1049"/>
      <c r="H98" s="1049"/>
      <c r="I98" s="1049"/>
      <c r="J98" s="1050"/>
      <c r="K98" s="5"/>
    </row>
    <row r="99" spans="2:11" ht="24" customHeight="1" x14ac:dyDescent="0.25">
      <c r="B99" s="1045" t="s">
        <v>36</v>
      </c>
      <c r="C99" s="87"/>
      <c r="D99" s="1036" t="s">
        <v>346</v>
      </c>
      <c r="E99" s="1037"/>
      <c r="F99" s="1037"/>
      <c r="G99" s="1037"/>
      <c r="H99" s="1037"/>
      <c r="I99" s="1037"/>
      <c r="J99" s="1038"/>
      <c r="K99" s="5"/>
    </row>
    <row r="100" spans="2:11" ht="48.2" customHeight="1" x14ac:dyDescent="0.25">
      <c r="B100" s="1046"/>
      <c r="C100" s="90"/>
      <c r="D100" s="1027" t="s">
        <v>392</v>
      </c>
      <c r="E100" s="1028"/>
      <c r="F100" s="1028"/>
      <c r="G100" s="1028"/>
      <c r="H100" s="1028"/>
      <c r="I100" s="1028"/>
      <c r="J100" s="1029"/>
      <c r="K100" s="5"/>
    </row>
    <row r="101" spans="2:11" ht="60" customHeight="1" thickBot="1" x14ac:dyDescent="0.3">
      <c r="B101" s="1047"/>
      <c r="C101" s="91"/>
      <c r="D101" s="1051" t="s">
        <v>393</v>
      </c>
      <c r="E101" s="1052"/>
      <c r="F101" s="1052"/>
      <c r="G101" s="1052"/>
      <c r="H101" s="1052"/>
      <c r="I101" s="1052"/>
      <c r="J101" s="1053"/>
      <c r="K101" s="5"/>
    </row>
    <row r="102" spans="2:11" ht="15.75" thickBot="1" x14ac:dyDescent="0.3">
      <c r="B102" s="1"/>
      <c r="C102" s="74"/>
      <c r="D102" s="5"/>
      <c r="E102" s="5"/>
      <c r="F102" s="5"/>
      <c r="G102" s="5"/>
      <c r="H102" s="5"/>
      <c r="I102" s="5"/>
      <c r="J102" s="5"/>
      <c r="K102" s="5"/>
    </row>
    <row r="103" spans="2:11" ht="24" customHeight="1" thickBot="1" x14ac:dyDescent="0.3">
      <c r="B103" s="1054" t="s">
        <v>38</v>
      </c>
      <c r="C103" s="1055"/>
      <c r="D103" s="1055"/>
      <c r="E103" s="1056"/>
      <c r="F103" s="5"/>
      <c r="G103" s="5"/>
      <c r="H103" s="5"/>
      <c r="I103" s="5"/>
      <c r="J103" s="5"/>
      <c r="K103" s="5"/>
    </row>
    <row r="104" spans="2:11" ht="15.75" thickBot="1" x14ac:dyDescent="0.3">
      <c r="B104" s="1045">
        <v>1</v>
      </c>
      <c r="C104" s="92"/>
      <c r="D104" s="47" t="s">
        <v>39</v>
      </c>
      <c r="E104" s="30" t="s">
        <v>1771</v>
      </c>
      <c r="F104" s="5"/>
      <c r="G104" s="5"/>
      <c r="H104" s="5"/>
      <c r="I104" s="5"/>
      <c r="J104" s="5"/>
      <c r="K104" s="5"/>
    </row>
    <row r="105" spans="2:11" ht="15.75" thickBot="1" x14ac:dyDescent="0.3">
      <c r="B105" s="1046"/>
      <c r="C105" s="92"/>
      <c r="D105" s="40" t="s">
        <v>40</v>
      </c>
      <c r="E105" s="30" t="s">
        <v>1772</v>
      </c>
      <c r="F105" s="5"/>
      <c r="G105" s="5"/>
      <c r="H105" s="5"/>
      <c r="I105" s="5"/>
      <c r="J105" s="5"/>
      <c r="K105" s="5"/>
    </row>
    <row r="106" spans="2:11" ht="15.75" thickBot="1" x14ac:dyDescent="0.3">
      <c r="B106" s="1046"/>
      <c r="C106" s="92"/>
      <c r="D106" s="40" t="s">
        <v>41</v>
      </c>
      <c r="E106" s="30" t="s">
        <v>1780</v>
      </c>
      <c r="F106" s="5"/>
      <c r="G106" s="5"/>
      <c r="H106" s="5"/>
      <c r="I106" s="5"/>
      <c r="J106" s="5"/>
      <c r="K106" s="5"/>
    </row>
    <row r="107" spans="2:11" ht="15.75" thickBot="1" x14ac:dyDescent="0.3">
      <c r="B107" s="1046"/>
      <c r="C107" s="92"/>
      <c r="D107" s="40" t="s">
        <v>42</v>
      </c>
      <c r="E107" s="30" t="s">
        <v>1494</v>
      </c>
      <c r="F107" s="5"/>
      <c r="G107" s="5"/>
      <c r="H107" s="5"/>
      <c r="I107" s="5"/>
      <c r="J107" s="5"/>
      <c r="K107" s="5"/>
    </row>
    <row r="108" spans="2:11" ht="15.75" thickBot="1" x14ac:dyDescent="0.3">
      <c r="B108" s="1046"/>
      <c r="C108" s="92"/>
      <c r="D108" s="40" t="s">
        <v>43</v>
      </c>
      <c r="E108" s="30" t="s">
        <v>1781</v>
      </c>
      <c r="F108" s="5"/>
      <c r="G108" s="5"/>
      <c r="H108" s="5"/>
      <c r="I108" s="5"/>
      <c r="J108" s="5"/>
      <c r="K108" s="5"/>
    </row>
    <row r="109" spans="2:11" ht="15.75" thickBot="1" x14ac:dyDescent="0.3">
      <c r="B109" s="1046"/>
      <c r="C109" s="92"/>
      <c r="D109" s="40" t="s">
        <v>44</v>
      </c>
      <c r="E109" s="30">
        <v>4380200</v>
      </c>
      <c r="F109" s="5"/>
      <c r="G109" s="5"/>
      <c r="H109" s="5"/>
      <c r="I109" s="5"/>
      <c r="J109" s="5"/>
      <c r="K109" s="5"/>
    </row>
    <row r="110" spans="2:11" ht="15.75" thickBot="1" x14ac:dyDescent="0.3">
      <c r="B110" s="1047"/>
      <c r="C110" s="2"/>
      <c r="D110" s="40" t="s">
        <v>45</v>
      </c>
      <c r="E110" s="30" t="s">
        <v>1773</v>
      </c>
      <c r="F110" s="5"/>
      <c r="G110" s="5"/>
      <c r="H110" s="5"/>
      <c r="I110" s="5"/>
      <c r="J110" s="5"/>
      <c r="K110" s="5"/>
    </row>
    <row r="111" spans="2:11" ht="15.75" thickBot="1" x14ac:dyDescent="0.3">
      <c r="B111" s="1"/>
      <c r="C111" s="74"/>
      <c r="D111" s="5"/>
      <c r="E111" s="5"/>
      <c r="F111" s="5"/>
      <c r="G111" s="5"/>
      <c r="H111" s="5"/>
      <c r="I111" s="5"/>
      <c r="J111" s="5"/>
      <c r="K111" s="5"/>
    </row>
    <row r="112" spans="2:11" ht="15.75" thickBot="1" x14ac:dyDescent="0.3">
      <c r="B112" s="1054" t="s">
        <v>46</v>
      </c>
      <c r="C112" s="1055"/>
      <c r="D112" s="1055"/>
      <c r="E112" s="1056"/>
      <c r="F112" s="5"/>
      <c r="G112" s="5"/>
      <c r="H112" s="5"/>
      <c r="I112" s="5"/>
      <c r="J112" s="5"/>
      <c r="K112" s="5"/>
    </row>
    <row r="113" spans="2:11" ht="15.75" thickBot="1" x14ac:dyDescent="0.3">
      <c r="B113" s="1045">
        <v>1</v>
      </c>
      <c r="C113" s="92"/>
      <c r="D113" s="47" t="s">
        <v>39</v>
      </c>
      <c r="E113" s="217" t="s">
        <v>47</v>
      </c>
      <c r="F113" s="5"/>
      <c r="G113" s="5"/>
      <c r="H113" s="5"/>
      <c r="I113" s="5"/>
      <c r="J113" s="5"/>
      <c r="K113" s="5"/>
    </row>
    <row r="114" spans="2:11" ht="15.75" thickBot="1" x14ac:dyDescent="0.3">
      <c r="B114" s="1046"/>
      <c r="C114" s="92"/>
      <c r="D114" s="40" t="s">
        <v>40</v>
      </c>
      <c r="E114" s="217" t="s">
        <v>160</v>
      </c>
      <c r="F114" s="5"/>
      <c r="G114" s="5"/>
      <c r="H114" s="5"/>
      <c r="I114" s="5"/>
      <c r="J114" s="5"/>
      <c r="K114" s="5"/>
    </row>
    <row r="115" spans="2:11" ht="15.75" thickBot="1" x14ac:dyDescent="0.3">
      <c r="B115" s="1046"/>
      <c r="C115" s="92"/>
      <c r="D115" s="40" t="s">
        <v>41</v>
      </c>
      <c r="E115" s="237"/>
      <c r="F115" s="5"/>
      <c r="G115" s="5"/>
      <c r="H115" s="5"/>
      <c r="I115" s="5"/>
      <c r="J115" s="5"/>
      <c r="K115" s="5"/>
    </row>
    <row r="116" spans="2:11" ht="15.75" thickBot="1" x14ac:dyDescent="0.3">
      <c r="B116" s="1046"/>
      <c r="C116" s="92"/>
      <c r="D116" s="40" t="s">
        <v>42</v>
      </c>
      <c r="E116" s="237"/>
      <c r="F116" s="5"/>
      <c r="G116" s="5"/>
      <c r="H116" s="5"/>
      <c r="I116" s="5"/>
      <c r="J116" s="5"/>
      <c r="K116" s="5"/>
    </row>
    <row r="117" spans="2:11" ht="15.75" thickBot="1" x14ac:dyDescent="0.3">
      <c r="B117" s="1046"/>
      <c r="C117" s="92"/>
      <c r="D117" s="40" t="s">
        <v>43</v>
      </c>
      <c r="E117" s="237"/>
      <c r="F117" s="5"/>
      <c r="G117" s="5"/>
      <c r="H117" s="5"/>
      <c r="I117" s="5"/>
      <c r="J117" s="5"/>
      <c r="K117" s="5"/>
    </row>
    <row r="118" spans="2:11" ht="15.75" thickBot="1" x14ac:dyDescent="0.3">
      <c r="B118" s="1046"/>
      <c r="C118" s="92"/>
      <c r="D118" s="40" t="s">
        <v>44</v>
      </c>
      <c r="E118" s="237"/>
      <c r="F118" s="5"/>
      <c r="G118" s="5"/>
      <c r="H118" s="5"/>
      <c r="I118" s="5"/>
      <c r="J118" s="5"/>
      <c r="K118" s="5"/>
    </row>
    <row r="119" spans="2:11" ht="15.75" thickBot="1" x14ac:dyDescent="0.3">
      <c r="B119" s="1047"/>
      <c r="C119" s="2"/>
      <c r="D119" s="40" t="s">
        <v>45</v>
      </c>
      <c r="E119" s="237"/>
      <c r="F119" s="5"/>
      <c r="G119" s="5"/>
      <c r="H119" s="5"/>
      <c r="I119" s="5"/>
      <c r="J119" s="5"/>
      <c r="K119" s="5"/>
    </row>
    <row r="120" spans="2:11" ht="15.75" thickBot="1" x14ac:dyDescent="0.3">
      <c r="B120" s="1"/>
      <c r="C120" s="74"/>
      <c r="D120" s="5"/>
      <c r="E120" s="5"/>
      <c r="F120" s="5"/>
      <c r="G120" s="5"/>
      <c r="H120" s="5"/>
      <c r="I120" s="5"/>
      <c r="J120" s="5"/>
      <c r="K120" s="5"/>
    </row>
    <row r="121" spans="2:11" ht="15" customHeight="1" thickBot="1" x14ac:dyDescent="0.3">
      <c r="B121" s="117" t="s">
        <v>49</v>
      </c>
      <c r="C121" s="118"/>
      <c r="D121" s="118"/>
      <c r="E121" s="119"/>
      <c r="G121" s="5"/>
      <c r="H121" s="5"/>
      <c r="I121" s="5"/>
      <c r="J121" s="5"/>
      <c r="K121" s="5"/>
    </row>
    <row r="122" spans="2:11" ht="24.75" thickBot="1" x14ac:dyDescent="0.3">
      <c r="B122" s="46" t="s">
        <v>50</v>
      </c>
      <c r="C122" s="40" t="s">
        <v>51</v>
      </c>
      <c r="D122" s="40" t="s">
        <v>52</v>
      </c>
      <c r="E122" s="40" t="s">
        <v>53</v>
      </c>
      <c r="F122" s="5"/>
      <c r="G122" s="5"/>
      <c r="H122" s="5"/>
      <c r="I122" s="5"/>
      <c r="J122" s="5"/>
    </row>
    <row r="123" spans="2:11" ht="96.75" thickBot="1" x14ac:dyDescent="0.3">
      <c r="B123" s="48">
        <v>42401</v>
      </c>
      <c r="C123" s="40">
        <v>0.01</v>
      </c>
      <c r="D123" s="49" t="s">
        <v>394</v>
      </c>
      <c r="E123" s="40"/>
      <c r="F123" s="5"/>
      <c r="G123" s="5"/>
      <c r="H123" s="5"/>
      <c r="I123" s="5"/>
      <c r="J123" s="5"/>
    </row>
    <row r="124" spans="2:11" ht="15.75" thickBot="1" x14ac:dyDescent="0.3">
      <c r="B124" s="1"/>
      <c r="C124" s="74"/>
      <c r="D124" s="5"/>
      <c r="E124" s="5"/>
      <c r="F124" s="5"/>
      <c r="G124" s="5"/>
      <c r="H124" s="5"/>
      <c r="I124" s="5"/>
      <c r="J124" s="5"/>
      <c r="K124" s="5"/>
    </row>
    <row r="125" spans="2:11" ht="15.75" thickBot="1" x14ac:dyDescent="0.3">
      <c r="B125" s="4" t="s">
        <v>55</v>
      </c>
      <c r="C125" s="94"/>
      <c r="D125" s="5"/>
      <c r="E125" s="5"/>
      <c r="F125" s="5"/>
      <c r="G125" s="5"/>
      <c r="H125" s="5"/>
      <c r="I125" s="5"/>
      <c r="J125" s="5"/>
      <c r="K125" s="5"/>
    </row>
    <row r="126" spans="2:11" x14ac:dyDescent="0.25">
      <c r="B126" s="1110" t="s">
        <v>395</v>
      </c>
      <c r="C126" s="1111"/>
      <c r="D126" s="1111"/>
      <c r="E126" s="1111"/>
      <c r="F126" s="1111"/>
      <c r="G126" s="1111"/>
      <c r="H126" s="1111"/>
      <c r="I126" s="1111"/>
      <c r="J126" s="1111"/>
      <c r="K126" s="5"/>
    </row>
    <row r="127" spans="2:11" ht="24" customHeight="1" x14ac:dyDescent="0.25">
      <c r="B127" s="1110"/>
      <c r="C127" s="1111"/>
      <c r="D127" s="1111"/>
      <c r="E127" s="1111"/>
      <c r="F127" s="1111"/>
      <c r="G127" s="1111"/>
      <c r="H127" s="1111"/>
      <c r="I127" s="1111"/>
      <c r="J127" s="1111"/>
      <c r="K127" s="5"/>
    </row>
    <row r="128" spans="2:11" x14ac:dyDescent="0.25">
      <c r="B128" s="1112"/>
      <c r="C128" s="1113"/>
      <c r="D128" s="1113"/>
      <c r="E128" s="1113"/>
      <c r="F128" s="1113"/>
      <c r="G128" s="1113"/>
      <c r="H128" s="1113"/>
      <c r="I128" s="1113"/>
      <c r="J128" s="1113"/>
      <c r="K128" s="5"/>
    </row>
    <row r="129" spans="2:11" ht="15.75" thickBot="1" x14ac:dyDescent="0.3">
      <c r="B129" s="5"/>
      <c r="D129" s="5"/>
      <c r="E129" s="5"/>
      <c r="F129" s="5"/>
      <c r="G129" s="5"/>
      <c r="H129" s="5"/>
      <c r="I129" s="5"/>
      <c r="J129" s="5"/>
      <c r="K129" s="5"/>
    </row>
    <row r="130" spans="2:11" ht="15.75" thickBot="1" x14ac:dyDescent="0.3">
      <c r="B130" s="1054" t="s">
        <v>56</v>
      </c>
      <c r="C130" s="1055"/>
      <c r="D130" s="1056"/>
      <c r="E130" s="5"/>
      <c r="F130" s="5"/>
      <c r="G130" s="5"/>
      <c r="H130" s="5"/>
      <c r="I130" s="5"/>
      <c r="J130" s="5"/>
      <c r="K130" s="5"/>
    </row>
    <row r="131" spans="2:11" ht="108.75" thickBot="1" x14ac:dyDescent="0.3">
      <c r="B131" s="46" t="s">
        <v>57</v>
      </c>
      <c r="C131" s="2"/>
      <c r="D131" s="40" t="s">
        <v>349</v>
      </c>
      <c r="E131" s="5"/>
      <c r="F131" s="5"/>
      <c r="G131" s="5"/>
      <c r="H131" s="5"/>
      <c r="I131" s="5"/>
      <c r="J131" s="5"/>
      <c r="K131" s="5"/>
    </row>
    <row r="132" spans="2:11" x14ac:dyDescent="0.25">
      <c r="B132" s="1045" t="s">
        <v>59</v>
      </c>
      <c r="C132" s="92"/>
      <c r="D132" s="52" t="s">
        <v>60</v>
      </c>
      <c r="E132" s="5"/>
      <c r="F132" s="5"/>
      <c r="G132" s="5"/>
      <c r="H132" s="5"/>
      <c r="I132" s="5"/>
      <c r="J132" s="5"/>
      <c r="K132" s="5"/>
    </row>
    <row r="133" spans="2:11" ht="84" x14ac:dyDescent="0.25">
      <c r="B133" s="1046"/>
      <c r="C133" s="92"/>
      <c r="D133" s="45" t="s">
        <v>350</v>
      </c>
      <c r="E133" s="5"/>
      <c r="F133" s="5"/>
      <c r="G133" s="5"/>
      <c r="H133" s="5"/>
      <c r="I133" s="5"/>
      <c r="J133" s="5"/>
      <c r="K133" s="5"/>
    </row>
    <row r="134" spans="2:11" ht="36" x14ac:dyDescent="0.25">
      <c r="B134" s="1046"/>
      <c r="C134" s="92"/>
      <c r="D134" s="45" t="s">
        <v>351</v>
      </c>
      <c r="E134" s="5"/>
      <c r="F134" s="5"/>
      <c r="G134" s="5"/>
      <c r="H134" s="5"/>
      <c r="I134" s="5"/>
      <c r="J134" s="5"/>
      <c r="K134" s="5"/>
    </row>
    <row r="135" spans="2:11" x14ac:dyDescent="0.25">
      <c r="B135" s="1046"/>
      <c r="C135" s="92"/>
      <c r="D135" s="52" t="s">
        <v>63</v>
      </c>
      <c r="E135" s="5"/>
      <c r="F135" s="5"/>
      <c r="G135" s="5"/>
      <c r="H135" s="5"/>
      <c r="I135" s="5"/>
      <c r="J135" s="5"/>
      <c r="K135" s="5"/>
    </row>
    <row r="136" spans="2:11" x14ac:dyDescent="0.25">
      <c r="B136" s="1046"/>
      <c r="C136" s="92"/>
      <c r="D136" s="45" t="s">
        <v>65</v>
      </c>
      <c r="E136" s="5"/>
      <c r="F136" s="5"/>
      <c r="G136" s="5"/>
      <c r="H136" s="5"/>
      <c r="I136" s="5"/>
      <c r="J136" s="5"/>
      <c r="K136" s="5"/>
    </row>
    <row r="137" spans="2:11" x14ac:dyDescent="0.25">
      <c r="B137" s="1046"/>
      <c r="C137" s="92"/>
      <c r="D137" s="45" t="s">
        <v>352</v>
      </c>
      <c r="E137" s="5"/>
      <c r="F137" s="5"/>
      <c r="G137" s="5"/>
      <c r="H137" s="5"/>
      <c r="I137" s="5"/>
      <c r="J137" s="5"/>
      <c r="K137" s="5"/>
    </row>
    <row r="138" spans="2:11" x14ac:dyDescent="0.25">
      <c r="B138" s="1046"/>
      <c r="C138" s="92"/>
      <c r="D138" s="52" t="s">
        <v>288</v>
      </c>
      <c r="E138" s="5"/>
      <c r="F138" s="5"/>
      <c r="G138" s="5"/>
      <c r="H138" s="5"/>
      <c r="I138" s="5"/>
      <c r="J138" s="5"/>
      <c r="K138" s="5"/>
    </row>
    <row r="139" spans="2:11" ht="36" x14ac:dyDescent="0.25">
      <c r="B139" s="1046"/>
      <c r="C139" s="92"/>
      <c r="D139" s="45" t="s">
        <v>353</v>
      </c>
      <c r="E139" s="5"/>
      <c r="F139" s="5"/>
      <c r="G139" s="5"/>
      <c r="H139" s="5"/>
      <c r="I139" s="5"/>
      <c r="J139" s="5"/>
      <c r="K139" s="5"/>
    </row>
    <row r="140" spans="2:11" ht="36" x14ac:dyDescent="0.25">
      <c r="B140" s="1046"/>
      <c r="C140" s="92"/>
      <c r="D140" s="45" t="s">
        <v>354</v>
      </c>
      <c r="E140" s="5"/>
      <c r="F140" s="5"/>
      <c r="G140" s="5"/>
      <c r="H140" s="5"/>
      <c r="I140" s="5"/>
      <c r="J140" s="5"/>
      <c r="K140" s="5"/>
    </row>
    <row r="141" spans="2:11" ht="15.75" thickBot="1" x14ac:dyDescent="0.3">
      <c r="B141" s="1047"/>
      <c r="C141" s="2"/>
      <c r="D141" s="40" t="s">
        <v>355</v>
      </c>
      <c r="E141" s="5"/>
      <c r="F141" s="5"/>
      <c r="G141" s="5"/>
      <c r="H141" s="5"/>
      <c r="I141" s="5"/>
      <c r="J141" s="5"/>
      <c r="K141" s="5"/>
    </row>
    <row r="142" spans="2:11" ht="24.75" thickBot="1" x14ac:dyDescent="0.3">
      <c r="B142" s="46" t="s">
        <v>72</v>
      </c>
      <c r="C142" s="2"/>
      <c r="D142" s="40"/>
      <c r="E142" s="5"/>
      <c r="F142" s="5"/>
      <c r="G142" s="5"/>
      <c r="H142" s="5"/>
      <c r="I142" s="5"/>
      <c r="J142" s="5"/>
      <c r="K142" s="5"/>
    </row>
    <row r="143" spans="2:11" ht="15.75" thickBot="1" x14ac:dyDescent="0.3">
      <c r="B143" s="37"/>
      <c r="C143" s="86"/>
      <c r="D143" s="5"/>
      <c r="E143" s="5"/>
      <c r="F143" s="5"/>
      <c r="G143" s="5"/>
      <c r="H143" s="5"/>
      <c r="I143" s="5"/>
      <c r="J143" s="5"/>
      <c r="K143" s="5"/>
    </row>
    <row r="144" spans="2:11" ht="108" x14ac:dyDescent="0.25">
      <c r="B144" s="1045" t="s">
        <v>73</v>
      </c>
      <c r="C144" s="103"/>
      <c r="D144" s="62" t="s">
        <v>356</v>
      </c>
      <c r="E144" s="5"/>
      <c r="F144" s="5"/>
      <c r="G144" s="5"/>
      <c r="H144" s="5"/>
      <c r="I144" s="5"/>
      <c r="J144" s="5"/>
      <c r="K144" s="5"/>
    </row>
    <row r="145" spans="2:11" ht="144" x14ac:dyDescent="0.25">
      <c r="B145" s="1046"/>
      <c r="C145" s="92"/>
      <c r="D145" s="45" t="s">
        <v>357</v>
      </c>
      <c r="E145" s="5"/>
      <c r="F145" s="5"/>
      <c r="G145" s="5"/>
      <c r="H145" s="5"/>
      <c r="I145" s="5"/>
      <c r="J145" s="5"/>
      <c r="K145" s="5"/>
    </row>
    <row r="146" spans="2:11" ht="192" x14ac:dyDescent="0.25">
      <c r="B146" s="1046"/>
      <c r="C146" s="92"/>
      <c r="D146" s="45" t="s">
        <v>358</v>
      </c>
      <c r="E146" s="5"/>
      <c r="F146" s="5"/>
      <c r="G146" s="5"/>
      <c r="H146" s="5"/>
      <c r="I146" s="5"/>
      <c r="J146" s="5"/>
      <c r="K146" s="5"/>
    </row>
    <row r="147" spans="2:11" ht="72" x14ac:dyDescent="0.25">
      <c r="B147" s="1046"/>
      <c r="C147" s="92"/>
      <c r="D147" s="45" t="s">
        <v>359</v>
      </c>
      <c r="E147" s="5"/>
      <c r="F147" s="5"/>
      <c r="G147" s="5"/>
      <c r="H147" s="5"/>
      <c r="I147" s="5"/>
      <c r="J147" s="5"/>
      <c r="K147" s="5"/>
    </row>
    <row r="148" spans="2:11" ht="120.75" thickBot="1" x14ac:dyDescent="0.3">
      <c r="B148" s="1047"/>
      <c r="C148" s="2"/>
      <c r="D148" s="40" t="s">
        <v>360</v>
      </c>
      <c r="E148" s="5"/>
      <c r="F148" s="5"/>
      <c r="G148" s="5"/>
      <c r="H148" s="5"/>
      <c r="I148" s="5"/>
      <c r="J148" s="5"/>
      <c r="K148" s="5"/>
    </row>
    <row r="149" spans="2:11" x14ac:dyDescent="0.25">
      <c r="B149" s="1045" t="s">
        <v>90</v>
      </c>
      <c r="C149" s="92"/>
      <c r="D149" s="52"/>
      <c r="E149" s="5"/>
      <c r="F149" s="5"/>
      <c r="G149" s="5"/>
      <c r="H149" s="5"/>
      <c r="I149" s="5"/>
      <c r="J149" s="5"/>
      <c r="K149" s="5"/>
    </row>
    <row r="150" spans="2:11" ht="36" x14ac:dyDescent="0.25">
      <c r="B150" s="1046"/>
      <c r="C150" s="92"/>
      <c r="D150" s="52" t="s">
        <v>348</v>
      </c>
      <c r="E150" s="5"/>
      <c r="F150" s="5"/>
      <c r="G150" s="5"/>
      <c r="H150" s="5"/>
      <c r="I150" s="5"/>
      <c r="J150" s="5"/>
      <c r="K150" s="5"/>
    </row>
    <row r="151" spans="2:11" x14ac:dyDescent="0.25">
      <c r="B151" s="1046"/>
      <c r="C151" s="92"/>
      <c r="D151" s="16"/>
      <c r="E151" s="5"/>
      <c r="F151" s="5"/>
      <c r="G151" s="5"/>
      <c r="H151" s="5"/>
      <c r="I151" s="5"/>
      <c r="J151" s="5"/>
      <c r="K151" s="5"/>
    </row>
    <row r="152" spans="2:11" x14ac:dyDescent="0.25">
      <c r="B152" s="1046"/>
      <c r="C152" s="92"/>
      <c r="D152" s="45" t="s">
        <v>91</v>
      </c>
      <c r="E152" s="5"/>
      <c r="F152" s="5"/>
      <c r="G152" s="5"/>
      <c r="H152" s="5"/>
      <c r="I152" s="5"/>
      <c r="J152" s="5"/>
      <c r="K152" s="5"/>
    </row>
    <row r="153" spans="2:11" ht="49.5" x14ac:dyDescent="0.25">
      <c r="B153" s="1046"/>
      <c r="C153" s="92"/>
      <c r="D153" s="45" t="s">
        <v>361</v>
      </c>
      <c r="E153" s="5"/>
      <c r="F153" s="5"/>
      <c r="G153" s="5"/>
      <c r="H153" s="5"/>
      <c r="I153" s="5"/>
      <c r="J153" s="5"/>
      <c r="K153" s="5"/>
    </row>
    <row r="154" spans="2:11" ht="49.5" x14ac:dyDescent="0.25">
      <c r="B154" s="1046"/>
      <c r="C154" s="92"/>
      <c r="D154" s="45" t="s">
        <v>362</v>
      </c>
      <c r="E154" s="5"/>
      <c r="F154" s="5"/>
      <c r="G154" s="5"/>
      <c r="H154" s="5"/>
      <c r="I154" s="5"/>
      <c r="J154" s="5"/>
      <c r="K154" s="5"/>
    </row>
    <row r="155" spans="2:11" ht="50.25" thickBot="1" x14ac:dyDescent="0.3">
      <c r="B155" s="1047"/>
      <c r="C155" s="2"/>
      <c r="D155" s="40" t="s">
        <v>363</v>
      </c>
      <c r="E155" s="5"/>
      <c r="F155" s="5"/>
      <c r="G155" s="5"/>
      <c r="H155" s="5"/>
      <c r="I155" s="5"/>
      <c r="J155" s="5"/>
      <c r="K155" s="5"/>
    </row>
  </sheetData>
  <sheetProtection insertRows="0"/>
  <mergeCells count="54">
    <mergeCell ref="B11:D11"/>
    <mergeCell ref="F11:S11"/>
    <mergeCell ref="F12:S12"/>
    <mergeCell ref="E13:R13"/>
    <mergeCell ref="E14:R14"/>
    <mergeCell ref="B126:J127"/>
    <mergeCell ref="B128:J128"/>
    <mergeCell ref="B130:D130"/>
    <mergeCell ref="B132:B141"/>
    <mergeCell ref="B144:B148"/>
    <mergeCell ref="B149:B155"/>
    <mergeCell ref="C17:C18"/>
    <mergeCell ref="D17:D18"/>
    <mergeCell ref="B113:B119"/>
    <mergeCell ref="D89:J89"/>
    <mergeCell ref="D90:J90"/>
    <mergeCell ref="D98:J98"/>
    <mergeCell ref="B99:B101"/>
    <mergeCell ref="D99:J99"/>
    <mergeCell ref="D100:J100"/>
    <mergeCell ref="D101:J101"/>
    <mergeCell ref="F73:F74"/>
    <mergeCell ref="G73:G74"/>
    <mergeCell ref="H73:H74"/>
    <mergeCell ref="D48:J48"/>
    <mergeCell ref="D49:J49"/>
    <mergeCell ref="D50:J50"/>
    <mergeCell ref="D38:J38"/>
    <mergeCell ref="D47:J47"/>
    <mergeCell ref="F17:F18"/>
    <mergeCell ref="D25:I25"/>
    <mergeCell ref="E17:E18"/>
    <mergeCell ref="G17:G18"/>
    <mergeCell ref="B103:E103"/>
    <mergeCell ref="B104:B110"/>
    <mergeCell ref="B112:E112"/>
    <mergeCell ref="D59:J59"/>
    <mergeCell ref="D60:J60"/>
    <mergeCell ref="D61:J61"/>
    <mergeCell ref="D70:J70"/>
    <mergeCell ref="D71:J71"/>
    <mergeCell ref="D72:J72"/>
    <mergeCell ref="I73:I74"/>
    <mergeCell ref="D73:D74"/>
    <mergeCell ref="E73:E74"/>
    <mergeCell ref="B16:B97"/>
    <mergeCell ref="D27:J27"/>
    <mergeCell ref="D36:J36"/>
    <mergeCell ref="D37:J37"/>
    <mergeCell ref="A1:P1"/>
    <mergeCell ref="A2:P2"/>
    <mergeCell ref="A3:P3"/>
    <mergeCell ref="A4:D4"/>
    <mergeCell ref="A5:P5"/>
  </mergeCells>
  <conditionalFormatting sqref="F11">
    <cfRule type="notContainsBlanks" dxfId="96" priority="4">
      <formula>LEN(TRIM(F11))&gt;0</formula>
    </cfRule>
  </conditionalFormatting>
  <conditionalFormatting sqref="F12:S12">
    <cfRule type="expression" dxfId="95" priority="2">
      <formula>E12="NO SE REPORTA"</formula>
    </cfRule>
    <cfRule type="expression" dxfId="94" priority="3">
      <formula>E11="NO APLICA"</formula>
    </cfRule>
  </conditionalFormatting>
  <conditionalFormatting sqref="E13:R13">
    <cfRule type="expression" dxfId="93" priority="1">
      <formula>E12="SI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52:H57 E23:F23 E19:F19 E29:H34">
      <formula1>0</formula1>
    </dataValidation>
    <dataValidation type="whole" operator="greaterThanOrEqual" allowBlank="1" showInputMessage="1" showErrorMessage="1" errorTitle="ERROR" error="Valor en HECTAREAS (sin decimales)_x000a_" sqref="E20:F22 E63:H68 G75:H88 E40:H45">
      <formula1>0</formula1>
    </dataValidation>
    <dataValidation allowBlank="1" showInputMessage="1" showErrorMessage="1" promptTitle="ESTADO" prompt="en preparación_x000a_en aprestamiento_x000a_en declaración_x000a_Declarado" sqref="I75:I88"/>
    <dataValidation allowBlank="1" showInputMessage="1" showErrorMessage="1" sqref="I40 E46:H46 I52 E69:H69 I63 E58:H58 E24:F24 I29"/>
    <dataValidation type="list" allowBlank="1" showInputMessage="1" showErrorMessage="1" sqref="E12">
      <formula1>REPORTE</formula1>
    </dataValidation>
    <dataValidation type="list" allowBlank="1" showInputMessage="1" showErrorMessage="1" sqref="E11">
      <formula1>SI</formula1>
    </dataValidation>
  </dataValidations>
  <hyperlinks>
    <hyperlink ref="B10" location="'ANEXO 3'!A1" display="VOLVER AL INDICE"/>
  </hyperlinks>
  <pageMargins left="0.25" right="0.25" top="0.75" bottom="0.75" header="0.3" footer="0.3"/>
  <pageSetup paperSize="178" orientation="landscape" horizontalDpi="1200" verticalDpi="1200" r:id="rId1"/>
  <ignoredErrors>
    <ignoredError sqref="E35 F35:H35 G46:H46 E46:F46"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9"/>
  <sheetViews>
    <sheetView showGridLines="0" zoomScale="98" zoomScaleNormal="98" workbookViewId="0">
      <selection activeCell="N19" sqref="N19"/>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6" max="6" width="12.710937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396</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t="str">
        <f>IF(E10="NO APLICA","NO APLICA",IF(E11="NO SE REPORTA","SIN INFORMACION",+F20))</f>
        <v>SIN INFORMACION</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1248</v>
      </c>
      <c r="F11" s="1016" t="s">
        <v>1804</v>
      </c>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c>
      <c r="E12" s="1018" t="s">
        <v>1911</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t="s">
        <v>2042</v>
      </c>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75" thickTop="1" x14ac:dyDescent="0.25">
      <c r="B15" s="1114" t="s">
        <v>2</v>
      </c>
      <c r="C15" s="87"/>
      <c r="D15" s="1036" t="s">
        <v>336</v>
      </c>
      <c r="E15" s="1037"/>
      <c r="F15" s="1037"/>
      <c r="G15" s="1037"/>
      <c r="H15" s="1037"/>
      <c r="I15" s="1037"/>
      <c r="J15" s="1038"/>
      <c r="K15" s="5"/>
    </row>
    <row r="16" spans="1:21" ht="15.75" thickBot="1" x14ac:dyDescent="0.3">
      <c r="B16" s="1046"/>
      <c r="C16" s="90"/>
      <c r="D16" s="1030" t="s">
        <v>411</v>
      </c>
      <c r="E16" s="1031"/>
      <c r="F16" s="1031"/>
      <c r="G16" s="1031"/>
      <c r="H16" s="1031"/>
      <c r="I16" s="1031"/>
      <c r="J16" s="1032"/>
      <c r="K16" s="5"/>
    </row>
    <row r="17" spans="2:11" ht="24.75" thickBot="1" x14ac:dyDescent="0.3">
      <c r="B17" s="1046"/>
      <c r="C17" s="92"/>
      <c r="D17" s="38" t="s">
        <v>412</v>
      </c>
      <c r="E17" s="42" t="s">
        <v>1794</v>
      </c>
      <c r="F17" s="38" t="s">
        <v>20</v>
      </c>
      <c r="G17" s="38" t="s">
        <v>21</v>
      </c>
      <c r="H17" s="38" t="s">
        <v>22</v>
      </c>
      <c r="I17" s="38" t="s">
        <v>23</v>
      </c>
      <c r="J17" s="38" t="s">
        <v>151</v>
      </c>
      <c r="K17" s="5"/>
    </row>
    <row r="18" spans="2:11" ht="36.75" thickBot="1" x14ac:dyDescent="0.3">
      <c r="B18" s="1046"/>
      <c r="C18" s="92"/>
      <c r="D18" s="40" t="s">
        <v>413</v>
      </c>
      <c r="E18" s="394">
        <v>1</v>
      </c>
      <c r="F18" s="204">
        <v>0</v>
      </c>
      <c r="G18" s="204">
        <v>0</v>
      </c>
      <c r="H18" s="204">
        <v>0</v>
      </c>
      <c r="I18" s="204">
        <v>1</v>
      </c>
      <c r="J18" s="41">
        <f>SUM(F18:I18)</f>
        <v>1</v>
      </c>
      <c r="K18" s="18"/>
    </row>
    <row r="19" spans="2:11" ht="36.75" thickBot="1" x14ac:dyDescent="0.3">
      <c r="B19" s="1046"/>
      <c r="C19" s="92"/>
      <c r="D19" s="40" t="s">
        <v>414</v>
      </c>
      <c r="E19" s="204"/>
      <c r="F19" s="204"/>
      <c r="G19" s="204"/>
      <c r="H19" s="204"/>
      <c r="I19" s="204"/>
      <c r="J19" s="41">
        <f>SUM(F19:I19)</f>
        <v>0</v>
      </c>
      <c r="K19" s="18"/>
    </row>
    <row r="20" spans="2:11" ht="36.75" thickBot="1" x14ac:dyDescent="0.3">
      <c r="B20" s="1046"/>
      <c r="C20" s="2"/>
      <c r="D20" s="40" t="s">
        <v>396</v>
      </c>
      <c r="E20" s="183">
        <f t="shared" ref="E20:J20" si="0">IFERROR(E19/E18,"N.A.")</f>
        <v>0</v>
      </c>
      <c r="F20" s="183" t="str">
        <f t="shared" si="0"/>
        <v>N.A.</v>
      </c>
      <c r="G20" s="183" t="str">
        <f t="shared" si="0"/>
        <v>N.A.</v>
      </c>
      <c r="H20" s="183" t="str">
        <f t="shared" si="0"/>
        <v>N.A.</v>
      </c>
      <c r="I20" s="183">
        <f t="shared" si="0"/>
        <v>0</v>
      </c>
      <c r="J20" s="183">
        <f t="shared" si="0"/>
        <v>0</v>
      </c>
      <c r="K20" s="18"/>
    </row>
    <row r="21" spans="2:11" ht="15" customHeight="1" thickBot="1" x14ac:dyDescent="0.3">
      <c r="B21" s="216"/>
      <c r="C21" s="87"/>
      <c r="D21" s="1030" t="s">
        <v>1196</v>
      </c>
      <c r="E21" s="1031"/>
      <c r="F21" s="1031"/>
      <c r="G21" s="1031"/>
      <c r="H21" s="1031"/>
      <c r="I21" s="1031"/>
      <c r="J21" s="1032"/>
      <c r="K21" s="5"/>
    </row>
    <row r="22" spans="2:11" ht="24.75" thickBot="1" x14ac:dyDescent="0.3">
      <c r="B22" s="216"/>
      <c r="C22" s="90"/>
      <c r="D22" s="317" t="s">
        <v>1197</v>
      </c>
      <c r="E22" s="519" t="s">
        <v>1198</v>
      </c>
      <c r="F22" s="197" t="s">
        <v>387</v>
      </c>
      <c r="G22" s="291"/>
      <c r="H22" s="292"/>
      <c r="I22" s="292"/>
      <c r="J22" s="293"/>
      <c r="K22" s="5"/>
    </row>
    <row r="23" spans="2:11" s="186" customFormat="1" ht="36.75" thickBot="1" x14ac:dyDescent="0.3">
      <c r="B23" s="215"/>
      <c r="C23" s="80"/>
      <c r="D23" s="339" t="s">
        <v>1910</v>
      </c>
      <c r="E23" s="249"/>
      <c r="F23" s="339" t="s">
        <v>1827</v>
      </c>
      <c r="G23" s="286"/>
      <c r="J23" s="287"/>
      <c r="K23" s="18"/>
    </row>
    <row r="24" spans="2:11" s="186" customFormat="1" ht="15.75" thickBot="1" x14ac:dyDescent="0.3">
      <c r="B24" s="215"/>
      <c r="C24" s="80"/>
      <c r="D24" s="285"/>
      <c r="E24" s="249"/>
      <c r="F24" s="249"/>
      <c r="G24" s="286"/>
      <c r="J24" s="287"/>
      <c r="K24" s="18"/>
    </row>
    <row r="25" spans="2:11" s="186" customFormat="1" ht="15.75" thickBot="1" x14ac:dyDescent="0.3">
      <c r="B25" s="215"/>
      <c r="C25" s="80"/>
      <c r="D25" s="285"/>
      <c r="E25" s="249"/>
      <c r="F25" s="249"/>
      <c r="G25" s="286"/>
      <c r="J25" s="287"/>
      <c r="K25" s="18"/>
    </row>
    <row r="26" spans="2:11" s="186" customFormat="1" ht="15.75" thickBot="1" x14ac:dyDescent="0.3">
      <c r="B26" s="215"/>
      <c r="C26" s="80"/>
      <c r="D26" s="285"/>
      <c r="E26" s="249"/>
      <c r="F26" s="249"/>
      <c r="G26" s="286"/>
      <c r="J26" s="287"/>
      <c r="K26" s="18"/>
    </row>
    <row r="27" spans="2:11" s="186" customFormat="1" ht="15.75" thickBot="1" x14ac:dyDescent="0.3">
      <c r="B27" s="215"/>
      <c r="C27" s="80"/>
      <c r="D27" s="285"/>
      <c r="E27" s="249"/>
      <c r="F27" s="249"/>
      <c r="G27" s="286"/>
      <c r="J27" s="287"/>
      <c r="K27" s="18"/>
    </row>
    <row r="28" spans="2:11" s="186" customFormat="1" ht="15.75" thickBot="1" x14ac:dyDescent="0.3">
      <c r="B28" s="215"/>
      <c r="C28" s="80"/>
      <c r="D28" s="285"/>
      <c r="E28" s="249"/>
      <c r="F28" s="249"/>
      <c r="G28" s="286"/>
      <c r="J28" s="287"/>
      <c r="K28" s="18"/>
    </row>
    <row r="29" spans="2:11" s="186" customFormat="1" ht="15.75" thickBot="1" x14ac:dyDescent="0.3">
      <c r="B29" s="215"/>
      <c r="C29" s="80"/>
      <c r="D29" s="285"/>
      <c r="E29" s="249"/>
      <c r="F29" s="249"/>
      <c r="G29" s="286"/>
      <c r="J29" s="287"/>
      <c r="K29" s="18"/>
    </row>
    <row r="30" spans="2:11" s="186" customFormat="1" ht="15.75" thickBot="1" x14ac:dyDescent="0.3">
      <c r="B30" s="215"/>
      <c r="C30" s="80"/>
      <c r="D30" s="285"/>
      <c r="E30" s="249"/>
      <c r="F30" s="249"/>
      <c r="G30" s="286"/>
      <c r="J30" s="287"/>
      <c r="K30" s="18"/>
    </row>
    <row r="31" spans="2:11" s="186" customFormat="1" ht="15.75" thickBot="1" x14ac:dyDescent="0.3">
      <c r="B31" s="215"/>
      <c r="C31" s="80"/>
      <c r="D31" s="285"/>
      <c r="E31" s="249"/>
      <c r="F31" s="249"/>
      <c r="G31" s="286"/>
      <c r="J31" s="287"/>
      <c r="K31" s="18"/>
    </row>
    <row r="32" spans="2:11" s="186" customFormat="1" ht="15.75" thickBot="1" x14ac:dyDescent="0.3">
      <c r="B32" s="215"/>
      <c r="C32" s="80"/>
      <c r="D32" s="285"/>
      <c r="E32" s="249"/>
      <c r="F32" s="249"/>
      <c r="G32" s="286"/>
      <c r="J32" s="287"/>
      <c r="K32" s="18"/>
    </row>
    <row r="33" spans="2:11" s="186" customFormat="1" ht="15.75" thickBot="1" x14ac:dyDescent="0.3">
      <c r="B33" s="215"/>
      <c r="C33" s="80"/>
      <c r="D33" s="30"/>
      <c r="E33" s="30"/>
      <c r="F33" s="30"/>
      <c r="G33" s="286"/>
      <c r="J33" s="287"/>
    </row>
    <row r="34" spans="2:11" s="186" customFormat="1" ht="15.75" thickBot="1" x14ac:dyDescent="0.3">
      <c r="B34" s="215"/>
      <c r="C34" s="80"/>
      <c r="D34" s="30"/>
      <c r="E34" s="30"/>
      <c r="F34" s="30"/>
      <c r="G34" s="286"/>
      <c r="J34" s="287"/>
    </row>
    <row r="35" spans="2:11" s="186" customFormat="1" ht="15.75" thickBot="1" x14ac:dyDescent="0.3">
      <c r="B35" s="177"/>
      <c r="C35" s="8"/>
      <c r="D35" s="30"/>
      <c r="E35" s="30"/>
      <c r="F35" s="30"/>
      <c r="G35" s="288"/>
      <c r="H35" s="289"/>
      <c r="I35" s="289"/>
      <c r="J35" s="290"/>
    </row>
    <row r="36" spans="2:11" ht="15.75" thickBot="1" x14ac:dyDescent="0.3">
      <c r="B36" s="46" t="s">
        <v>34</v>
      </c>
      <c r="C36" s="91"/>
      <c r="D36" s="1048" t="s">
        <v>415</v>
      </c>
      <c r="E36" s="1049"/>
      <c r="F36" s="1049"/>
      <c r="G36" s="1049"/>
      <c r="H36" s="1049"/>
      <c r="I36" s="1049"/>
      <c r="J36" s="1050"/>
    </row>
    <row r="37" spans="2:11" ht="24.75" thickBot="1" x14ac:dyDescent="0.3">
      <c r="B37" s="46" t="s">
        <v>36</v>
      </c>
      <c r="C37" s="91"/>
      <c r="D37" s="1048" t="s">
        <v>346</v>
      </c>
      <c r="E37" s="1049"/>
      <c r="F37" s="1049"/>
      <c r="G37" s="1049"/>
      <c r="H37" s="1049"/>
      <c r="I37" s="1049"/>
      <c r="J37" s="1050"/>
    </row>
    <row r="38" spans="2:11" ht="15.75" thickBot="1" x14ac:dyDescent="0.3">
      <c r="B38" s="128"/>
      <c r="C38" s="99"/>
      <c r="D38" s="128"/>
      <c r="E38" s="128"/>
      <c r="F38" s="128"/>
      <c r="G38" s="128"/>
      <c r="H38" s="128"/>
      <c r="I38" s="128"/>
      <c r="J38" s="128"/>
      <c r="K38" s="5"/>
    </row>
    <row r="39" spans="2:11" ht="24" customHeight="1" thickBot="1" x14ac:dyDescent="0.3">
      <c r="B39" s="1054" t="s">
        <v>38</v>
      </c>
      <c r="C39" s="1055"/>
      <c r="D39" s="1055"/>
      <c r="E39" s="1056"/>
      <c r="F39" s="5"/>
      <c r="G39" s="5"/>
      <c r="H39" s="5"/>
      <c r="I39" s="5"/>
      <c r="J39" s="5"/>
      <c r="K39" s="5"/>
    </row>
    <row r="40" spans="2:11" ht="15.75" thickBot="1" x14ac:dyDescent="0.3">
      <c r="B40" s="1045">
        <v>1</v>
      </c>
      <c r="C40" s="92"/>
      <c r="D40" s="47" t="s">
        <v>39</v>
      </c>
      <c r="E40" s="30" t="s">
        <v>1771</v>
      </c>
      <c r="F40" s="5"/>
      <c r="G40" s="5"/>
      <c r="H40" s="5"/>
      <c r="I40" s="5"/>
      <c r="J40" s="5"/>
      <c r="K40" s="5"/>
    </row>
    <row r="41" spans="2:11" ht="15.75" thickBot="1" x14ac:dyDescent="0.3">
      <c r="B41" s="1046"/>
      <c r="C41" s="92"/>
      <c r="D41" s="40" t="s">
        <v>40</v>
      </c>
      <c r="E41" s="30" t="s">
        <v>1772</v>
      </c>
      <c r="F41" s="5"/>
      <c r="G41" s="5"/>
      <c r="H41" s="5"/>
      <c r="I41" s="5"/>
      <c r="J41" s="5"/>
      <c r="K41" s="5"/>
    </row>
    <row r="42" spans="2:11" ht="15.75" thickBot="1" x14ac:dyDescent="0.3">
      <c r="B42" s="1046"/>
      <c r="C42" s="92"/>
      <c r="D42" s="40" t="s">
        <v>41</v>
      </c>
      <c r="E42" s="30" t="s">
        <v>1780</v>
      </c>
      <c r="F42" s="5"/>
      <c r="G42" s="5"/>
      <c r="H42" s="5"/>
      <c r="I42" s="5"/>
      <c r="J42" s="5"/>
      <c r="K42" s="5"/>
    </row>
    <row r="43" spans="2:11" ht="15.75" thickBot="1" x14ac:dyDescent="0.3">
      <c r="B43" s="1046"/>
      <c r="C43" s="92"/>
      <c r="D43" s="40" t="s">
        <v>42</v>
      </c>
      <c r="E43" s="30" t="s">
        <v>1494</v>
      </c>
      <c r="F43" s="5"/>
      <c r="G43" s="5"/>
      <c r="H43" s="5"/>
      <c r="I43" s="5"/>
      <c r="J43" s="5"/>
      <c r="K43" s="5"/>
    </row>
    <row r="44" spans="2:11" ht="15.75" thickBot="1" x14ac:dyDescent="0.3">
      <c r="B44" s="1046"/>
      <c r="C44" s="92"/>
      <c r="D44" s="40" t="s">
        <v>43</v>
      </c>
      <c r="E44" s="30" t="s">
        <v>1781</v>
      </c>
      <c r="F44" s="5"/>
      <c r="G44" s="5"/>
      <c r="H44" s="5"/>
      <c r="I44" s="5"/>
      <c r="J44" s="5"/>
      <c r="K44" s="5"/>
    </row>
    <row r="45" spans="2:11" ht="15.75" thickBot="1" x14ac:dyDescent="0.3">
      <c r="B45" s="1046"/>
      <c r="C45" s="92"/>
      <c r="D45" s="40" t="s">
        <v>44</v>
      </c>
      <c r="E45" s="30">
        <v>4380200</v>
      </c>
      <c r="F45" s="5"/>
      <c r="G45" s="5"/>
      <c r="H45" s="5"/>
      <c r="I45" s="5"/>
      <c r="J45" s="5"/>
      <c r="K45" s="5"/>
    </row>
    <row r="46" spans="2:11" ht="15.75" thickBot="1" x14ac:dyDescent="0.3">
      <c r="B46" s="1047"/>
      <c r="C46" s="2"/>
      <c r="D46" s="40" t="s">
        <v>45</v>
      </c>
      <c r="E46" s="30" t="s">
        <v>1773</v>
      </c>
      <c r="F46" s="5"/>
      <c r="G46" s="5"/>
      <c r="H46" s="5"/>
      <c r="I46" s="5"/>
      <c r="J46" s="5"/>
      <c r="K46" s="5"/>
    </row>
    <row r="47" spans="2:11" ht="15.75" thickBot="1" x14ac:dyDescent="0.3">
      <c r="B47" s="1"/>
      <c r="C47" s="74"/>
      <c r="D47" s="5"/>
      <c r="E47" s="5"/>
      <c r="F47" s="5"/>
      <c r="G47" s="5"/>
      <c r="H47" s="5"/>
      <c r="I47" s="5"/>
      <c r="J47" s="5"/>
      <c r="K47" s="5"/>
    </row>
    <row r="48" spans="2:11" ht="15.75" thickBot="1" x14ac:dyDescent="0.3">
      <c r="B48" s="1054" t="s">
        <v>46</v>
      </c>
      <c r="C48" s="1055"/>
      <c r="D48" s="1055"/>
      <c r="E48" s="1056"/>
      <c r="F48" s="5"/>
      <c r="G48" s="5"/>
      <c r="H48" s="5"/>
      <c r="I48" s="5"/>
      <c r="J48" s="5"/>
      <c r="K48" s="5"/>
    </row>
    <row r="49" spans="2:11" ht="15.75" thickBot="1" x14ac:dyDescent="0.3">
      <c r="B49" s="1045">
        <v>1</v>
      </c>
      <c r="C49" s="92"/>
      <c r="D49" s="47" t="s">
        <v>39</v>
      </c>
      <c r="E49" s="217" t="s">
        <v>47</v>
      </c>
      <c r="F49" s="5"/>
      <c r="G49" s="5"/>
      <c r="H49" s="5"/>
      <c r="I49" s="5"/>
      <c r="J49" s="5"/>
      <c r="K49" s="5"/>
    </row>
    <row r="50" spans="2:11" ht="15.75" thickBot="1" x14ac:dyDescent="0.3">
      <c r="B50" s="1046"/>
      <c r="C50" s="92"/>
      <c r="D50" s="40" t="s">
        <v>40</v>
      </c>
      <c r="E50" s="217" t="s">
        <v>48</v>
      </c>
      <c r="F50" s="5"/>
      <c r="G50" s="5"/>
      <c r="H50" s="5"/>
      <c r="I50" s="5"/>
      <c r="J50" s="5"/>
      <c r="K50" s="5"/>
    </row>
    <row r="51" spans="2:11" ht="15.75" thickBot="1" x14ac:dyDescent="0.3">
      <c r="B51" s="1046"/>
      <c r="C51" s="92"/>
      <c r="D51" s="40" t="s">
        <v>41</v>
      </c>
      <c r="E51" s="237"/>
      <c r="F51" s="5"/>
      <c r="G51" s="5"/>
      <c r="H51" s="5"/>
      <c r="I51" s="5"/>
      <c r="J51" s="5"/>
      <c r="K51" s="5"/>
    </row>
    <row r="52" spans="2:11" ht="15.75" thickBot="1" x14ac:dyDescent="0.3">
      <c r="B52" s="1046"/>
      <c r="C52" s="92"/>
      <c r="D52" s="40" t="s">
        <v>42</v>
      </c>
      <c r="E52" s="237"/>
      <c r="F52" s="5"/>
      <c r="G52" s="5"/>
      <c r="H52" s="5"/>
      <c r="I52" s="5"/>
      <c r="J52" s="5"/>
      <c r="K52" s="5"/>
    </row>
    <row r="53" spans="2:11" ht="15.75" thickBot="1" x14ac:dyDescent="0.3">
      <c r="B53" s="1046"/>
      <c r="C53" s="92"/>
      <c r="D53" s="40" t="s">
        <v>43</v>
      </c>
      <c r="E53" s="237"/>
      <c r="F53" s="5"/>
      <c r="G53" s="5"/>
      <c r="H53" s="5"/>
      <c r="I53" s="5"/>
      <c r="J53" s="5"/>
      <c r="K53" s="5"/>
    </row>
    <row r="54" spans="2:11" ht="15.75" thickBot="1" x14ac:dyDescent="0.3">
      <c r="B54" s="1046"/>
      <c r="C54" s="92"/>
      <c r="D54" s="40" t="s">
        <v>44</v>
      </c>
      <c r="E54" s="237"/>
      <c r="F54" s="5"/>
      <c r="G54" s="5"/>
      <c r="H54" s="5"/>
      <c r="I54" s="5"/>
      <c r="J54" s="5"/>
      <c r="K54" s="5"/>
    </row>
    <row r="55" spans="2:11" ht="15.75" thickBot="1" x14ac:dyDescent="0.3">
      <c r="B55" s="1047"/>
      <c r="C55" s="2"/>
      <c r="D55" s="40" t="s">
        <v>45</v>
      </c>
      <c r="E55" s="237"/>
      <c r="F55" s="5"/>
      <c r="G55" s="5"/>
      <c r="H55" s="5"/>
      <c r="I55" s="5"/>
      <c r="J55" s="5"/>
      <c r="K55" s="5"/>
    </row>
    <row r="56" spans="2:11" ht="15.75" thickBot="1" x14ac:dyDescent="0.3">
      <c r="B56" s="1"/>
      <c r="C56" s="74"/>
      <c r="D56" s="5"/>
      <c r="E56" s="5"/>
      <c r="F56" s="5"/>
      <c r="G56" s="5"/>
      <c r="H56" s="5"/>
      <c r="I56" s="5"/>
      <c r="J56" s="5"/>
      <c r="K56" s="5"/>
    </row>
    <row r="57" spans="2:11" ht="15" customHeight="1" thickBot="1" x14ac:dyDescent="0.3">
      <c r="B57" s="120" t="s">
        <v>49</v>
      </c>
      <c r="C57" s="121"/>
      <c r="D57" s="121"/>
      <c r="E57" s="122"/>
      <c r="G57" s="5"/>
      <c r="H57" s="5"/>
      <c r="I57" s="5"/>
      <c r="J57" s="5"/>
      <c r="K57" s="5"/>
    </row>
    <row r="58" spans="2:11" ht="24.75" thickBot="1" x14ac:dyDescent="0.3">
      <c r="B58" s="46" t="s">
        <v>50</v>
      </c>
      <c r="C58" s="40" t="s">
        <v>51</v>
      </c>
      <c r="D58" s="40" t="s">
        <v>52</v>
      </c>
      <c r="E58" s="40" t="s">
        <v>53</v>
      </c>
      <c r="F58" s="5"/>
      <c r="G58" s="5"/>
      <c r="H58" s="5"/>
      <c r="I58" s="5"/>
      <c r="J58" s="5"/>
    </row>
    <row r="59" spans="2:11" ht="72.75" thickBot="1" x14ac:dyDescent="0.3">
      <c r="B59" s="48">
        <v>42401</v>
      </c>
      <c r="C59" s="40">
        <v>1</v>
      </c>
      <c r="D59" s="49" t="s">
        <v>416</v>
      </c>
      <c r="E59" s="40"/>
      <c r="F59" s="5"/>
      <c r="G59" s="5"/>
      <c r="H59" s="5"/>
      <c r="I59" s="5"/>
      <c r="J59" s="5"/>
    </row>
    <row r="60" spans="2:11" ht="15.75" thickBot="1" x14ac:dyDescent="0.3">
      <c r="B60" s="1"/>
      <c r="C60" s="74"/>
      <c r="D60" s="5"/>
      <c r="E60" s="5"/>
      <c r="F60" s="5"/>
      <c r="G60" s="5"/>
      <c r="H60" s="5"/>
      <c r="I60" s="5"/>
      <c r="J60" s="5"/>
      <c r="K60" s="5"/>
    </row>
    <row r="61" spans="2:11" ht="15.75" thickBot="1" x14ac:dyDescent="0.3">
      <c r="B61" s="4" t="s">
        <v>417</v>
      </c>
      <c r="C61" s="94"/>
      <c r="D61" s="5"/>
      <c r="E61" s="5"/>
      <c r="F61" s="5"/>
      <c r="G61" s="5"/>
      <c r="H61" s="5"/>
      <c r="I61" s="5"/>
      <c r="J61" s="5"/>
      <c r="K61" s="5"/>
    </row>
    <row r="62" spans="2:11" x14ac:dyDescent="0.25">
      <c r="B62" s="1085"/>
      <c r="C62" s="1086"/>
      <c r="D62" s="1086"/>
      <c r="E62" s="5"/>
      <c r="F62" s="5"/>
      <c r="G62" s="5"/>
      <c r="H62" s="5"/>
      <c r="I62" s="5"/>
      <c r="J62" s="5"/>
      <c r="K62" s="5"/>
    </row>
    <row r="63" spans="2:11" x14ac:dyDescent="0.25">
      <c r="B63" s="1085"/>
      <c r="C63" s="1086"/>
      <c r="D63" s="1086"/>
      <c r="E63" s="5"/>
      <c r="F63" s="5"/>
      <c r="G63" s="5"/>
      <c r="H63" s="5"/>
      <c r="I63" s="5"/>
      <c r="J63" s="5"/>
      <c r="K63" s="5"/>
    </row>
    <row r="64" spans="2:11" ht="15.75" thickBot="1" x14ac:dyDescent="0.3">
      <c r="B64" s="5"/>
      <c r="D64" s="5"/>
      <c r="E64" s="5"/>
      <c r="F64" s="5"/>
      <c r="G64" s="5"/>
      <c r="H64" s="5"/>
      <c r="I64" s="5"/>
      <c r="J64" s="5"/>
      <c r="K64" s="5"/>
    </row>
    <row r="65" spans="2:11" ht="15.75" thickBot="1" x14ac:dyDescent="0.3">
      <c r="B65" s="1054" t="s">
        <v>56</v>
      </c>
      <c r="C65" s="1055"/>
      <c r="D65" s="1056"/>
      <c r="E65" s="5"/>
      <c r="F65" s="5"/>
      <c r="G65" s="5"/>
      <c r="H65" s="5"/>
      <c r="I65" s="5"/>
      <c r="J65" s="5"/>
      <c r="K65" s="5"/>
    </row>
    <row r="66" spans="2:11" ht="60.75" thickBot="1" x14ac:dyDescent="0.3">
      <c r="B66" s="46" t="s">
        <v>57</v>
      </c>
      <c r="C66" s="2"/>
      <c r="D66" s="40" t="s">
        <v>397</v>
      </c>
      <c r="E66" s="5"/>
      <c r="F66" s="5"/>
      <c r="G66" s="5"/>
      <c r="H66" s="5"/>
      <c r="I66" s="5"/>
      <c r="J66" s="5"/>
      <c r="K66" s="5"/>
    </row>
    <row r="67" spans="2:11" x14ac:dyDescent="0.25">
      <c r="B67" s="1045" t="s">
        <v>59</v>
      </c>
      <c r="C67" s="92"/>
      <c r="D67" s="52" t="s">
        <v>60</v>
      </c>
      <c r="E67" s="5"/>
      <c r="F67" s="5"/>
      <c r="G67" s="5"/>
      <c r="H67" s="5"/>
      <c r="I67" s="5"/>
      <c r="J67" s="5"/>
      <c r="K67" s="5"/>
    </row>
    <row r="68" spans="2:11" ht="120" x14ac:dyDescent="0.25">
      <c r="B68" s="1046"/>
      <c r="C68" s="92"/>
      <c r="D68" s="45" t="s">
        <v>398</v>
      </c>
      <c r="E68" s="5"/>
      <c r="F68" s="5"/>
      <c r="G68" s="5"/>
      <c r="H68" s="5"/>
      <c r="I68" s="5"/>
      <c r="J68" s="5"/>
      <c r="K68" s="5"/>
    </row>
    <row r="69" spans="2:11" x14ac:dyDescent="0.25">
      <c r="B69" s="1046"/>
      <c r="C69" s="92"/>
      <c r="D69" s="52" t="s">
        <v>63</v>
      </c>
      <c r="E69" s="5"/>
      <c r="F69" s="5"/>
      <c r="G69" s="5"/>
      <c r="H69" s="5"/>
      <c r="I69" s="5"/>
      <c r="J69" s="5"/>
      <c r="K69" s="5"/>
    </row>
    <row r="70" spans="2:11" x14ac:dyDescent="0.25">
      <c r="B70" s="1046"/>
      <c r="C70" s="92"/>
      <c r="D70" s="45" t="s">
        <v>318</v>
      </c>
      <c r="E70" s="5"/>
      <c r="F70" s="5"/>
      <c r="G70" s="5"/>
      <c r="H70" s="5"/>
      <c r="I70" s="5"/>
      <c r="J70" s="5"/>
      <c r="K70" s="5"/>
    </row>
    <row r="71" spans="2:11" x14ac:dyDescent="0.25">
      <c r="B71" s="1046"/>
      <c r="C71" s="92"/>
      <c r="D71" s="45" t="s">
        <v>399</v>
      </c>
      <c r="E71" s="5"/>
      <c r="F71" s="5"/>
      <c r="G71" s="5"/>
      <c r="H71" s="5"/>
      <c r="I71" s="5"/>
      <c r="J71" s="5"/>
      <c r="K71" s="5"/>
    </row>
    <row r="72" spans="2:11" x14ac:dyDescent="0.25">
      <c r="B72" s="1046"/>
      <c r="C72" s="92"/>
      <c r="D72" s="45" t="s">
        <v>165</v>
      </c>
      <c r="E72" s="5"/>
      <c r="F72" s="5"/>
      <c r="G72" s="5"/>
      <c r="H72" s="5"/>
      <c r="I72" s="5"/>
      <c r="J72" s="5"/>
      <c r="K72" s="5"/>
    </row>
    <row r="73" spans="2:11" x14ac:dyDescent="0.25">
      <c r="B73" s="1046"/>
      <c r="C73" s="92"/>
      <c r="D73" s="45" t="s">
        <v>400</v>
      </c>
      <c r="E73" s="5"/>
      <c r="F73" s="5"/>
      <c r="G73" s="5"/>
      <c r="H73" s="5"/>
      <c r="I73" s="5"/>
      <c r="J73" s="5"/>
      <c r="K73" s="5"/>
    </row>
    <row r="74" spans="2:11" x14ac:dyDescent="0.25">
      <c r="B74" s="1046"/>
      <c r="C74" s="92"/>
      <c r="D74" s="45" t="s">
        <v>401</v>
      </c>
      <c r="E74" s="5"/>
      <c r="F74" s="5"/>
      <c r="G74" s="5"/>
      <c r="H74" s="5"/>
      <c r="I74" s="5"/>
      <c r="J74" s="5"/>
      <c r="K74" s="5"/>
    </row>
    <row r="75" spans="2:11" x14ac:dyDescent="0.25">
      <c r="B75" s="1046"/>
      <c r="C75" s="92"/>
      <c r="D75" s="45" t="s">
        <v>402</v>
      </c>
      <c r="E75" s="5"/>
      <c r="F75" s="5"/>
      <c r="G75" s="5"/>
      <c r="H75" s="5"/>
      <c r="I75" s="5"/>
      <c r="J75" s="5"/>
      <c r="K75" s="5"/>
    </row>
    <row r="76" spans="2:11" x14ac:dyDescent="0.25">
      <c r="B76" s="1046"/>
      <c r="C76" s="92"/>
      <c r="D76" s="45" t="s">
        <v>403</v>
      </c>
      <c r="E76" s="5"/>
      <c r="F76" s="5"/>
      <c r="G76" s="5"/>
      <c r="H76" s="5"/>
      <c r="I76" s="5"/>
      <c r="J76" s="5"/>
      <c r="K76" s="5"/>
    </row>
    <row r="77" spans="2:11" x14ac:dyDescent="0.25">
      <c r="B77" s="1046"/>
      <c r="C77" s="92"/>
      <c r="D77" s="52" t="s">
        <v>288</v>
      </c>
      <c r="E77" s="5"/>
      <c r="F77" s="5"/>
      <c r="G77" s="5"/>
      <c r="H77" s="5"/>
      <c r="I77" s="5"/>
      <c r="J77" s="5"/>
      <c r="K77" s="5"/>
    </row>
    <row r="78" spans="2:11" ht="36.75" thickBot="1" x14ac:dyDescent="0.3">
      <c r="B78" s="1047"/>
      <c r="C78" s="2"/>
      <c r="D78" s="40" t="s">
        <v>353</v>
      </c>
      <c r="E78" s="5"/>
      <c r="F78" s="5"/>
      <c r="G78" s="5"/>
      <c r="H78" s="5"/>
      <c r="I78" s="5"/>
      <c r="J78" s="5"/>
      <c r="K78" s="5"/>
    </row>
    <row r="79" spans="2:11" ht="24.75" thickBot="1" x14ac:dyDescent="0.3">
      <c r="B79" s="46" t="s">
        <v>72</v>
      </c>
      <c r="C79" s="2"/>
      <c r="D79" s="40"/>
      <c r="E79" s="5"/>
      <c r="F79" s="5"/>
      <c r="G79" s="5"/>
      <c r="H79" s="5"/>
      <c r="I79" s="5"/>
      <c r="J79" s="5"/>
      <c r="K79" s="5"/>
    </row>
    <row r="80" spans="2:11" ht="144" x14ac:dyDescent="0.25">
      <c r="B80" s="1045" t="s">
        <v>73</v>
      </c>
      <c r="C80" s="92"/>
      <c r="D80" s="45" t="s">
        <v>404</v>
      </c>
      <c r="E80" s="5"/>
      <c r="F80" s="5"/>
      <c r="G80" s="5"/>
      <c r="H80" s="5"/>
      <c r="I80" s="5"/>
      <c r="J80" s="5"/>
      <c r="K80" s="5"/>
    </row>
    <row r="81" spans="2:11" ht="72" x14ac:dyDescent="0.25">
      <c r="B81" s="1046"/>
      <c r="C81" s="92"/>
      <c r="D81" s="45" t="s">
        <v>405</v>
      </c>
      <c r="E81" s="5"/>
      <c r="F81" s="5"/>
      <c r="G81" s="5"/>
      <c r="H81" s="5"/>
      <c r="I81" s="5"/>
      <c r="J81" s="5"/>
      <c r="K81" s="5"/>
    </row>
    <row r="82" spans="2:11" ht="84" x14ac:dyDescent="0.25">
      <c r="B82" s="1046"/>
      <c r="C82" s="92"/>
      <c r="D82" s="45" t="s">
        <v>406</v>
      </c>
      <c r="E82" s="5"/>
      <c r="F82" s="5"/>
      <c r="G82" s="5"/>
      <c r="H82" s="5"/>
      <c r="I82" s="5"/>
      <c r="J82" s="5"/>
      <c r="K82" s="5"/>
    </row>
    <row r="83" spans="2:11" ht="108.75" thickBot="1" x14ac:dyDescent="0.3">
      <c r="B83" s="1047"/>
      <c r="C83" s="2"/>
      <c r="D83" s="40" t="s">
        <v>407</v>
      </c>
      <c r="E83" s="5"/>
      <c r="F83" s="5"/>
      <c r="G83" s="5"/>
      <c r="H83" s="5"/>
      <c r="I83" s="5"/>
      <c r="J83" s="5"/>
      <c r="K83" s="5"/>
    </row>
    <row r="84" spans="2:11" ht="36" x14ac:dyDescent="0.25">
      <c r="B84" s="1045" t="s">
        <v>90</v>
      </c>
      <c r="C84" s="92"/>
      <c r="D84" s="52" t="s">
        <v>396</v>
      </c>
      <c r="E84" s="5"/>
      <c r="F84" s="5"/>
      <c r="G84" s="5"/>
      <c r="H84" s="5"/>
      <c r="I84" s="5"/>
      <c r="J84" s="5"/>
      <c r="K84" s="5"/>
    </row>
    <row r="85" spans="2:11" x14ac:dyDescent="0.25">
      <c r="B85" s="1046"/>
      <c r="C85" s="92"/>
      <c r="D85" s="16"/>
      <c r="E85" s="5"/>
      <c r="F85" s="5"/>
      <c r="G85" s="5"/>
      <c r="H85" s="5"/>
      <c r="I85" s="5"/>
      <c r="J85" s="5"/>
      <c r="K85" s="5"/>
    </row>
    <row r="86" spans="2:11" x14ac:dyDescent="0.25">
      <c r="B86" s="1046"/>
      <c r="C86" s="92"/>
      <c r="D86" s="45" t="s">
        <v>91</v>
      </c>
      <c r="E86" s="5"/>
      <c r="F86" s="5"/>
      <c r="G86" s="5"/>
      <c r="H86" s="5"/>
      <c r="I86" s="5"/>
      <c r="J86" s="5"/>
      <c r="K86" s="5"/>
    </row>
    <row r="87" spans="2:11" ht="61.5" x14ac:dyDescent="0.25">
      <c r="B87" s="1046"/>
      <c r="C87" s="92"/>
      <c r="D87" s="45" t="s">
        <v>408</v>
      </c>
      <c r="E87" s="5"/>
      <c r="F87" s="5"/>
      <c r="G87" s="5"/>
      <c r="H87" s="5"/>
      <c r="I87" s="5"/>
      <c r="J87" s="5"/>
      <c r="K87" s="5"/>
    </row>
    <row r="88" spans="2:11" ht="61.5" x14ac:dyDescent="0.25">
      <c r="B88" s="1046"/>
      <c r="C88" s="92"/>
      <c r="D88" s="45" t="s">
        <v>409</v>
      </c>
      <c r="E88" s="5"/>
      <c r="F88" s="5"/>
      <c r="G88" s="5"/>
      <c r="H88" s="5"/>
      <c r="I88" s="5"/>
      <c r="J88" s="5"/>
      <c r="K88" s="5"/>
    </row>
    <row r="89" spans="2:11" ht="38.25" thickBot="1" x14ac:dyDescent="0.3">
      <c r="B89" s="1047"/>
      <c r="C89" s="2"/>
      <c r="D89" s="40" t="s">
        <v>410</v>
      </c>
      <c r="E89" s="5"/>
      <c r="F89" s="5"/>
      <c r="G89" s="5"/>
      <c r="H89" s="5"/>
      <c r="I89" s="5"/>
      <c r="J89" s="5"/>
      <c r="K89" s="5"/>
    </row>
  </sheetData>
  <mergeCells count="25">
    <mergeCell ref="B10:D10"/>
    <mergeCell ref="F10:S10"/>
    <mergeCell ref="F11:S11"/>
    <mergeCell ref="E12:R12"/>
    <mergeCell ref="E13:R13"/>
    <mergeCell ref="B84:B89"/>
    <mergeCell ref="B15:B20"/>
    <mergeCell ref="D15:J15"/>
    <mergeCell ref="D16:J16"/>
    <mergeCell ref="D36:J36"/>
    <mergeCell ref="D37:J37"/>
    <mergeCell ref="B39:E39"/>
    <mergeCell ref="B40:B46"/>
    <mergeCell ref="B48:E48"/>
    <mergeCell ref="B49:B55"/>
    <mergeCell ref="B62:D63"/>
    <mergeCell ref="D21:J21"/>
    <mergeCell ref="B65:D65"/>
    <mergeCell ref="B67:B78"/>
    <mergeCell ref="B80:B83"/>
    <mergeCell ref="A1:P1"/>
    <mergeCell ref="A2:P2"/>
    <mergeCell ref="A3:P3"/>
    <mergeCell ref="A4:D4"/>
    <mergeCell ref="A5:P5"/>
  </mergeCells>
  <conditionalFormatting sqref="F10">
    <cfRule type="notContainsBlanks" dxfId="92" priority="4">
      <formula>LEN(TRIM(F10))&gt;0</formula>
    </cfRule>
  </conditionalFormatting>
  <conditionalFormatting sqref="F11:S11">
    <cfRule type="expression" dxfId="91" priority="2">
      <formula>E11="NO SE REPORTA"</formula>
    </cfRule>
    <cfRule type="expression" dxfId="90" priority="3">
      <formula>E10="NO APLICA"</formula>
    </cfRule>
  </conditionalFormatting>
  <conditionalFormatting sqref="E12:R12">
    <cfRule type="expression" dxfId="89"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I19">
      <formula1>0</formula1>
    </dataValidation>
    <dataValidation allowBlank="1" showInputMessage="1" showErrorMessage="1" promptTitle="OJO" prompt="NO TOCAR" sqref="E20:J20 J18:J19"/>
    <dataValidation type="whole" operator="greaterThanOrEqual" allowBlank="1" showInputMessage="1" showErrorMessage="1" errorTitle="ERROR" error="Valor en HECTAREAS (sin decimales)_x000a_" sqref="G38:H38">
      <formula1>0</formula1>
    </dataValidation>
    <dataValidation allowBlank="1" showInputMessage="1" showErrorMessage="1" promptTitle="ESTADO" prompt="en preparación_x000a_en aprestamiento_x000a_en declaración_x000a_Declarado" sqref="I38"/>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ignoredErrors>
    <ignoredError sqref="J18"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4"/>
  <sheetViews>
    <sheetView showGridLines="0" zoomScale="98" zoomScaleNormal="98" workbookViewId="0">
      <selection activeCell="T16" sqref="T16"/>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11" max="11" width="11.7109375"/>
    <col min="12" max="12" width="23" customWidth="1"/>
    <col min="13" max="13" width="11" customWidth="1"/>
    <col min="14" max="16" width="8.8554687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418</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c r="L6" s="5"/>
    </row>
    <row r="7" spans="1:21" ht="15.75" thickBot="1" x14ac:dyDescent="0.3">
      <c r="B7" s="73"/>
      <c r="C7" s="75"/>
      <c r="D7" s="5"/>
      <c r="E7" s="17"/>
      <c r="F7" s="5" t="s">
        <v>129</v>
      </c>
      <c r="G7" s="5"/>
      <c r="H7" s="5"/>
      <c r="I7" s="5"/>
      <c r="J7" s="5"/>
      <c r="K7" s="5" t="s">
        <v>1215</v>
      </c>
    </row>
    <row r="8" spans="1:21" ht="15.75" thickBot="1" x14ac:dyDescent="0.3">
      <c r="B8" s="169" t="s">
        <v>1192</v>
      </c>
      <c r="C8" s="209">
        <v>2022</v>
      </c>
      <c r="D8" s="214">
        <f>IF(E10="NO APLICA","NO APLICA",IF(E11="NO SE REPORTA","SIN INFORMACION",+M34))</f>
        <v>0.6</v>
      </c>
      <c r="E8" s="210"/>
      <c r="F8" s="5" t="s">
        <v>130</v>
      </c>
      <c r="G8" s="5"/>
      <c r="H8" s="5"/>
      <c r="I8" s="5"/>
      <c r="J8" s="5"/>
      <c r="K8" s="5"/>
      <c r="L8" s="5"/>
    </row>
    <row r="9" spans="1:21" x14ac:dyDescent="0.25">
      <c r="B9" s="363" t="s">
        <v>1193</v>
      </c>
      <c r="C9" s="86"/>
      <c r="D9" s="5"/>
      <c r="E9" s="5"/>
      <c r="F9" s="5"/>
      <c r="G9" s="5"/>
      <c r="H9" s="5"/>
      <c r="I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t="s">
        <v>1804</v>
      </c>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1912</v>
      </c>
      <c r="F12" s="1018"/>
      <c r="G12" s="1018"/>
      <c r="H12" s="1018"/>
      <c r="I12" s="1018"/>
      <c r="J12" s="1018"/>
      <c r="K12" s="1018"/>
      <c r="L12" s="1018"/>
      <c r="M12" s="1018"/>
      <c r="N12" s="1018"/>
      <c r="O12" s="1018"/>
      <c r="P12" s="1018"/>
      <c r="Q12" s="1018"/>
      <c r="R12" s="1018"/>
    </row>
    <row r="13" spans="1:21" ht="35.450000000000003" customHeight="1" x14ac:dyDescent="0.25">
      <c r="B13" s="363"/>
      <c r="C13" s="86"/>
      <c r="D13" s="169" t="s">
        <v>1252</v>
      </c>
      <c r="E13" s="1019" t="s">
        <v>2051</v>
      </c>
      <c r="F13" s="1020"/>
      <c r="G13" s="1020"/>
      <c r="H13" s="1020"/>
      <c r="I13" s="1020"/>
      <c r="J13" s="1020"/>
      <c r="K13" s="1020"/>
      <c r="L13" s="1020"/>
      <c r="M13" s="1020"/>
      <c r="N13" s="1020"/>
      <c r="O13" s="1020"/>
      <c r="P13" s="1020"/>
      <c r="Q13" s="1020"/>
      <c r="R13" s="1021"/>
    </row>
    <row r="14" spans="1:21" ht="13.7" customHeight="1" thickBot="1" x14ac:dyDescent="0.3">
      <c r="B14" s="363"/>
      <c r="C14" s="86"/>
      <c r="D14" s="5"/>
      <c r="E14" s="5"/>
      <c r="F14" s="5"/>
      <c r="G14" s="5"/>
      <c r="H14" s="5"/>
      <c r="I14" s="5"/>
    </row>
    <row r="15" spans="1:21" ht="15.6" customHeight="1" thickBot="1" x14ac:dyDescent="0.3">
      <c r="B15" s="1045" t="s">
        <v>2</v>
      </c>
      <c r="C15" s="87"/>
      <c r="D15" s="1036" t="s">
        <v>336</v>
      </c>
      <c r="E15" s="1037"/>
      <c r="F15" s="1037"/>
      <c r="G15" s="1037"/>
      <c r="H15" s="1037"/>
      <c r="I15" s="1038"/>
      <c r="K15" s="299" t="s">
        <v>412</v>
      </c>
      <c r="L15" s="299" t="s">
        <v>1228</v>
      </c>
      <c r="M15" s="299" t="s">
        <v>1069</v>
      </c>
      <c r="N15" s="299" t="s">
        <v>105</v>
      </c>
      <c r="O15" s="213"/>
    </row>
    <row r="16" spans="1:21" ht="21.6" customHeight="1" thickBot="1" x14ac:dyDescent="0.3">
      <c r="B16" s="1046"/>
      <c r="C16" s="96" t="s">
        <v>19</v>
      </c>
      <c r="D16" s="42" t="s">
        <v>150</v>
      </c>
      <c r="E16" s="38" t="s">
        <v>151</v>
      </c>
      <c r="F16" s="5"/>
      <c r="G16" s="5"/>
      <c r="I16" s="21"/>
      <c r="K16" s="299" t="s">
        <v>1220</v>
      </c>
      <c r="L16" s="307" t="s">
        <v>1229</v>
      </c>
      <c r="M16" s="300">
        <v>0.05</v>
      </c>
      <c r="N16" s="300">
        <v>0.05</v>
      </c>
      <c r="O16" s="213"/>
    </row>
    <row r="17" spans="2:18" ht="42" customHeight="1" thickBot="1" x14ac:dyDescent="0.3">
      <c r="B17" s="1046"/>
      <c r="C17" s="2" t="s">
        <v>152</v>
      </c>
      <c r="D17" s="40" t="s">
        <v>1465</v>
      </c>
      <c r="E17" s="205"/>
      <c r="F17" s="5"/>
      <c r="G17" s="5"/>
      <c r="I17" s="21"/>
      <c r="K17" s="299" t="s">
        <v>1217</v>
      </c>
      <c r="L17" s="307" t="s">
        <v>1231</v>
      </c>
      <c r="M17" s="300">
        <v>0.15</v>
      </c>
      <c r="N17" s="300">
        <f>+M17+N16</f>
        <v>0.2</v>
      </c>
      <c r="O17" s="213"/>
    </row>
    <row r="18" spans="2:18" ht="41.25" customHeight="1" thickBot="1" x14ac:dyDescent="0.3">
      <c r="B18" s="1046"/>
      <c r="C18" s="2" t="s">
        <v>154</v>
      </c>
      <c r="D18" s="40" t="s">
        <v>430</v>
      </c>
      <c r="E18" s="205"/>
      <c r="F18" s="5"/>
      <c r="G18" s="5"/>
      <c r="I18" s="21"/>
      <c r="K18" s="299" t="s">
        <v>1218</v>
      </c>
      <c r="L18" s="307" t="s">
        <v>1232</v>
      </c>
      <c r="M18" s="300">
        <v>0.15</v>
      </c>
      <c r="N18" s="300">
        <f>+M18+N17</f>
        <v>0.35</v>
      </c>
      <c r="O18" s="213"/>
    </row>
    <row r="19" spans="2:18" ht="45" customHeight="1" thickBot="1" x14ac:dyDescent="0.3">
      <c r="B19" s="1046"/>
      <c r="C19" s="2" t="s">
        <v>156</v>
      </c>
      <c r="D19" s="40" t="s">
        <v>431</v>
      </c>
      <c r="E19" s="205"/>
      <c r="F19" s="5"/>
      <c r="G19" s="5"/>
      <c r="I19" s="21"/>
      <c r="K19" s="299" t="s">
        <v>1219</v>
      </c>
      <c r="L19" s="307" t="s">
        <v>1233</v>
      </c>
      <c r="M19" s="300">
        <v>0.2</v>
      </c>
      <c r="N19" s="300">
        <f>+M19+N18</f>
        <v>0.55000000000000004</v>
      </c>
      <c r="O19" s="213"/>
    </row>
    <row r="20" spans="2:18" ht="34.700000000000003" customHeight="1" thickBot="1" x14ac:dyDescent="0.3">
      <c r="B20" s="1046"/>
      <c r="C20" s="2" t="s">
        <v>258</v>
      </c>
      <c r="D20" s="40" t="s">
        <v>432</v>
      </c>
      <c r="E20" s="132">
        <f>+E18+E19</f>
        <v>0</v>
      </c>
      <c r="F20" s="5"/>
      <c r="G20" s="5"/>
      <c r="I20" s="21"/>
      <c r="K20" s="299" t="s">
        <v>1216</v>
      </c>
      <c r="L20" s="307" t="s">
        <v>1234</v>
      </c>
      <c r="M20" s="300">
        <v>0.2</v>
      </c>
      <c r="N20" s="300">
        <f>+M20+N19</f>
        <v>0.75</v>
      </c>
      <c r="O20" s="213"/>
    </row>
    <row r="21" spans="2:18" ht="34.700000000000003" customHeight="1" thickBot="1" x14ac:dyDescent="0.3">
      <c r="B21" s="1046"/>
      <c r="C21" s="2" t="s">
        <v>260</v>
      </c>
      <c r="D21" s="40" t="s">
        <v>1466</v>
      </c>
      <c r="E21" s="205"/>
      <c r="F21" s="5"/>
      <c r="G21" s="5"/>
      <c r="I21" s="21"/>
      <c r="K21" s="299" t="s">
        <v>1236</v>
      </c>
      <c r="L21" s="307" t="s">
        <v>1235</v>
      </c>
      <c r="M21" s="300">
        <v>0.25</v>
      </c>
      <c r="N21" s="300">
        <f>+M21+N20</f>
        <v>1</v>
      </c>
      <c r="R21" t="s">
        <v>1230</v>
      </c>
    </row>
    <row r="22" spans="2:18" ht="15" customHeight="1" x14ac:dyDescent="0.25">
      <c r="B22" s="1046"/>
      <c r="C22" s="90"/>
      <c r="D22" s="1027"/>
      <c r="E22" s="1028"/>
      <c r="F22" s="1028"/>
      <c r="G22" s="1028"/>
      <c r="H22" s="1028"/>
      <c r="I22" s="1029"/>
      <c r="K22" s="299" t="s">
        <v>151</v>
      </c>
      <c r="L22" s="299"/>
      <c r="M22" s="300">
        <f>SUM(M16:M21)</f>
        <v>1</v>
      </c>
    </row>
    <row r="23" spans="2:18" ht="15.75" thickBot="1" x14ac:dyDescent="0.3">
      <c r="B23" s="1046"/>
      <c r="C23" s="90"/>
      <c r="D23" s="1051" t="s">
        <v>433</v>
      </c>
      <c r="E23" s="1052"/>
      <c r="F23" s="1052"/>
      <c r="G23" s="1052"/>
      <c r="H23" s="1052"/>
      <c r="I23" s="1053"/>
      <c r="J23" s="5"/>
      <c r="K23" s="5"/>
      <c r="L23" s="5"/>
    </row>
    <row r="24" spans="2:18" ht="15" customHeight="1" thickBot="1" x14ac:dyDescent="0.3">
      <c r="B24" s="1046"/>
      <c r="C24" s="92"/>
      <c r="D24" s="38" t="s">
        <v>150</v>
      </c>
      <c r="E24" s="38" t="s">
        <v>20</v>
      </c>
      <c r="F24" s="38" t="s">
        <v>21</v>
      </c>
      <c r="G24" s="38" t="s">
        <v>22</v>
      </c>
      <c r="H24" s="38" t="s">
        <v>23</v>
      </c>
      <c r="I24" s="38" t="s">
        <v>151</v>
      </c>
      <c r="J24" s="5"/>
      <c r="K24" s="1115" t="s">
        <v>412</v>
      </c>
      <c r="L24" s="1115" t="s">
        <v>1221</v>
      </c>
      <c r="M24" s="1115" t="s">
        <v>20</v>
      </c>
      <c r="N24" s="1115" t="s">
        <v>21</v>
      </c>
      <c r="O24" s="1115" t="s">
        <v>22</v>
      </c>
      <c r="P24" s="1115" t="s">
        <v>23</v>
      </c>
    </row>
    <row r="25" spans="2:18" ht="28.5" customHeight="1" thickBot="1" x14ac:dyDescent="0.3">
      <c r="B25" s="1046"/>
      <c r="C25" s="92"/>
      <c r="D25" s="40" t="s">
        <v>434</v>
      </c>
      <c r="E25" s="205">
        <v>0</v>
      </c>
      <c r="F25" s="205"/>
      <c r="G25" s="205"/>
      <c r="H25" s="205"/>
      <c r="I25" s="296">
        <f>Formulas!$I$15</f>
        <v>0</v>
      </c>
      <c r="J25" s="5"/>
      <c r="K25" s="1115"/>
      <c r="L25" s="1115"/>
      <c r="M25" s="1115"/>
      <c r="N25" s="1115"/>
      <c r="O25" s="1115"/>
      <c r="P25" s="1115"/>
    </row>
    <row r="26" spans="2:18" ht="15" customHeight="1" thickBot="1" x14ac:dyDescent="0.3">
      <c r="B26" s="1046"/>
      <c r="C26" s="92"/>
      <c r="D26" s="39" t="s">
        <v>370</v>
      </c>
      <c r="E26" s="205">
        <v>0</v>
      </c>
      <c r="F26" s="205"/>
      <c r="G26" s="205"/>
      <c r="H26" s="205"/>
      <c r="I26" s="294"/>
      <c r="J26" s="5"/>
      <c r="K26" s="299" t="str">
        <f>+D26</f>
        <v>Sin iniciar</v>
      </c>
      <c r="L26" s="298">
        <v>0</v>
      </c>
      <c r="M26" s="295">
        <f>+$L26*E26</f>
        <v>0</v>
      </c>
      <c r="N26" s="295"/>
      <c r="O26" s="295"/>
      <c r="P26" s="295"/>
    </row>
    <row r="27" spans="2:18" ht="15" customHeight="1" thickBot="1" x14ac:dyDescent="0.3">
      <c r="B27" s="1046"/>
      <c r="C27" s="92"/>
      <c r="D27" s="39" t="s">
        <v>435</v>
      </c>
      <c r="E27" s="205"/>
      <c r="F27" s="205"/>
      <c r="G27" s="205"/>
      <c r="H27" s="205"/>
      <c r="I27" s="294"/>
      <c r="J27" s="5"/>
      <c r="K27" s="299" t="str">
        <f>+D27</f>
        <v>En formulación</v>
      </c>
      <c r="L27" s="298"/>
      <c r="M27" s="295">
        <f>+$L27*E27</f>
        <v>0</v>
      </c>
      <c r="N27" s="295"/>
      <c r="O27" s="295"/>
      <c r="P27" s="295"/>
    </row>
    <row r="28" spans="2:18" ht="15" customHeight="1" thickBot="1" x14ac:dyDescent="0.3">
      <c r="B28" s="1046"/>
      <c r="C28" s="92"/>
      <c r="D28" s="39" t="s">
        <v>436</v>
      </c>
      <c r="E28" s="205"/>
      <c r="F28" s="205"/>
      <c r="G28" s="205"/>
      <c r="H28" s="205"/>
      <c r="I28" s="294"/>
      <c r="J28" s="5"/>
      <c r="K28" s="299" t="str">
        <f>+D28</f>
        <v>En actualización</v>
      </c>
      <c r="L28" s="298"/>
      <c r="M28" s="295">
        <f>+$L28*E28</f>
        <v>0</v>
      </c>
      <c r="N28" s="295"/>
      <c r="O28" s="295"/>
      <c r="P28" s="295"/>
    </row>
    <row r="29" spans="2:18" ht="15.75" thickBot="1" x14ac:dyDescent="0.3">
      <c r="B29" s="1046"/>
      <c r="C29" s="92"/>
      <c r="D29" s="39" t="s">
        <v>437</v>
      </c>
      <c r="E29" s="205"/>
      <c r="F29" s="205"/>
      <c r="G29" s="205"/>
      <c r="H29" s="205"/>
      <c r="I29" s="294"/>
      <c r="J29" s="5"/>
      <c r="K29" s="299" t="str">
        <f>+D29</f>
        <v>Plan forestal adoptado</v>
      </c>
      <c r="L29" s="298"/>
      <c r="M29" s="295">
        <f>+$L29*E29</f>
        <v>0</v>
      </c>
      <c r="N29" s="295"/>
      <c r="O29" s="295"/>
      <c r="P29" s="295"/>
    </row>
    <row r="30" spans="2:18" ht="15" customHeight="1" thickBot="1" x14ac:dyDescent="0.3">
      <c r="B30" s="1046"/>
      <c r="C30" s="92"/>
      <c r="D30" s="39" t="s">
        <v>151</v>
      </c>
      <c r="E30" s="136">
        <f>Formulas!D15</f>
        <v>0</v>
      </c>
      <c r="F30" s="136">
        <f>Formulas!E15</f>
        <v>0</v>
      </c>
      <c r="G30" s="136">
        <f>Formulas!F15</f>
        <v>0</v>
      </c>
      <c r="H30" s="136">
        <f>Formulas!G15</f>
        <v>0</v>
      </c>
      <c r="I30" s="294"/>
      <c r="J30" s="5"/>
      <c r="K30" s="299"/>
      <c r="L30" s="299" t="s">
        <v>1212</v>
      </c>
      <c r="M30" s="295">
        <f>SUM(M26:M29)</f>
        <v>0</v>
      </c>
      <c r="N30" s="295"/>
      <c r="O30" s="295"/>
      <c r="P30" s="295"/>
    </row>
    <row r="31" spans="2:18" ht="14.45" customHeight="1" x14ac:dyDescent="0.25">
      <c r="B31" s="1046"/>
      <c r="C31" s="90"/>
      <c r="D31" s="1036" t="s">
        <v>438</v>
      </c>
      <c r="E31" s="1037"/>
      <c r="F31" s="1037"/>
      <c r="G31" s="1037"/>
      <c r="H31" s="1037"/>
      <c r="I31" s="1038"/>
      <c r="J31" s="5"/>
      <c r="K31" s="299"/>
      <c r="L31" s="299" t="s">
        <v>1213</v>
      </c>
      <c r="M31" s="297" t="e">
        <f>+M30/$I$25</f>
        <v>#DIV/0!</v>
      </c>
      <c r="N31" s="297"/>
      <c r="O31" s="297"/>
      <c r="P31" s="297"/>
    </row>
    <row r="32" spans="2:18" ht="24" customHeight="1" x14ac:dyDescent="0.25">
      <c r="B32" s="1046"/>
      <c r="C32" s="90"/>
      <c r="D32" s="1027" t="s">
        <v>439</v>
      </c>
      <c r="E32" s="1028"/>
      <c r="F32" s="1028"/>
      <c r="G32" s="1028"/>
      <c r="H32" s="1028"/>
      <c r="I32" s="1029"/>
      <c r="J32" s="5"/>
      <c r="K32" s="299"/>
      <c r="L32" s="299" t="s">
        <v>1222</v>
      </c>
      <c r="M32" s="297">
        <f>+M45</f>
        <v>0</v>
      </c>
      <c r="N32" s="297"/>
      <c r="O32" s="297"/>
      <c r="P32" s="297"/>
    </row>
    <row r="33" spans="2:16" ht="15" customHeight="1" thickBot="1" x14ac:dyDescent="0.3">
      <c r="B33" s="1046"/>
      <c r="C33" s="90"/>
      <c r="D33" s="1039" t="s">
        <v>440</v>
      </c>
      <c r="E33" s="1040"/>
      <c r="F33" s="1040"/>
      <c r="G33" s="1040"/>
      <c r="H33" s="1040"/>
      <c r="I33" s="1041"/>
      <c r="J33" s="5"/>
      <c r="K33" s="299"/>
      <c r="L33" s="299" t="s">
        <v>1226</v>
      </c>
      <c r="M33" s="295">
        <f>+M46</f>
        <v>0</v>
      </c>
      <c r="N33" s="295"/>
      <c r="O33" s="295"/>
      <c r="P33" s="295"/>
    </row>
    <row r="34" spans="2:16" ht="48.75" thickBot="1" x14ac:dyDescent="0.3">
      <c r="B34" s="1046"/>
      <c r="C34" s="92"/>
      <c r="D34" s="42" t="s">
        <v>441</v>
      </c>
      <c r="E34" s="42" t="s">
        <v>442</v>
      </c>
      <c r="F34" s="42" t="s">
        <v>443</v>
      </c>
      <c r="G34" s="42" t="s">
        <v>444</v>
      </c>
      <c r="H34" s="42" t="s">
        <v>445</v>
      </c>
      <c r="I34" s="21"/>
      <c r="J34" s="5"/>
      <c r="K34" s="299"/>
      <c r="L34" s="299" t="s">
        <v>418</v>
      </c>
      <c r="M34" s="297">
        <v>0.6</v>
      </c>
      <c r="N34" s="297"/>
      <c r="O34" s="297"/>
      <c r="P34" s="297"/>
    </row>
    <row r="35" spans="2:16" ht="15" customHeight="1" thickBot="1" x14ac:dyDescent="0.3">
      <c r="B35" s="1046"/>
      <c r="C35" s="92"/>
      <c r="D35" s="30"/>
      <c r="E35" s="30"/>
      <c r="F35" s="205"/>
      <c r="G35" s="30"/>
      <c r="H35" s="30"/>
      <c r="I35" s="21"/>
      <c r="J35" s="5"/>
      <c r="K35" s="5"/>
      <c r="L35" s="5"/>
      <c r="M35" s="5"/>
      <c r="N35" s="5"/>
      <c r="O35" s="5"/>
      <c r="P35" s="5"/>
    </row>
    <row r="36" spans="2:16" ht="15" customHeight="1" thickBot="1" x14ac:dyDescent="0.3">
      <c r="B36" s="1046"/>
      <c r="C36" s="92"/>
      <c r="D36" s="30"/>
      <c r="E36" s="30"/>
      <c r="F36" s="205"/>
      <c r="G36" s="30"/>
      <c r="H36" s="30"/>
      <c r="I36" s="21"/>
      <c r="J36" s="5"/>
      <c r="K36" s="5"/>
      <c r="L36" s="5"/>
    </row>
    <row r="37" spans="2:16" ht="15" customHeight="1" thickBot="1" x14ac:dyDescent="0.3">
      <c r="B37" s="1046"/>
      <c r="C37" s="92"/>
      <c r="D37" s="30"/>
      <c r="E37" s="30"/>
      <c r="F37" s="205"/>
      <c r="G37" s="30"/>
      <c r="H37" s="30"/>
      <c r="I37" s="21"/>
      <c r="J37" s="5"/>
      <c r="K37" s="5"/>
      <c r="L37" t="s">
        <v>1223</v>
      </c>
    </row>
    <row r="38" spans="2:16" ht="15" customHeight="1" thickBot="1" x14ac:dyDescent="0.3">
      <c r="B38" s="1046"/>
      <c r="C38" s="92"/>
      <c r="D38" s="30"/>
      <c r="E38" s="30"/>
      <c r="F38" s="205"/>
      <c r="G38" s="30"/>
      <c r="H38" s="30"/>
      <c r="I38" s="21"/>
      <c r="J38" s="5"/>
      <c r="K38" s="5"/>
      <c r="L38" s="5"/>
    </row>
    <row r="39" spans="2:16" ht="15" customHeight="1" thickBot="1" x14ac:dyDescent="0.3">
      <c r="B39" s="1046"/>
      <c r="C39" s="92"/>
      <c r="D39" s="30"/>
      <c r="E39" s="30"/>
      <c r="F39" s="205"/>
      <c r="G39" s="30"/>
      <c r="H39" s="30"/>
      <c r="I39" s="21"/>
      <c r="J39" s="5"/>
      <c r="K39" s="1115" t="s">
        <v>1214</v>
      </c>
      <c r="L39" s="1116" t="s">
        <v>1224</v>
      </c>
      <c r="M39" s="1115" t="s">
        <v>1225</v>
      </c>
    </row>
    <row r="40" spans="2:16" ht="33" customHeight="1" thickBot="1" x14ac:dyDescent="0.3">
      <c r="B40" s="1046"/>
      <c r="C40" s="92"/>
      <c r="D40" s="30"/>
      <c r="E40" s="30"/>
      <c r="F40" s="205"/>
      <c r="G40" s="30"/>
      <c r="H40" s="30"/>
      <c r="I40" s="21"/>
      <c r="J40" s="5"/>
      <c r="K40" s="1115"/>
      <c r="L40" s="1116"/>
      <c r="M40" s="1115"/>
    </row>
    <row r="41" spans="2:16" ht="15.75" thickBot="1" x14ac:dyDescent="0.3">
      <c r="B41" s="1046"/>
      <c r="C41" s="92"/>
      <c r="D41" s="30"/>
      <c r="E41" s="30"/>
      <c r="F41" s="205"/>
      <c r="G41" s="30"/>
      <c r="H41" s="30"/>
      <c r="I41" s="21"/>
      <c r="J41" s="5"/>
      <c r="K41" s="299" t="str">
        <f>+K26</f>
        <v>Sin iniciar</v>
      </c>
      <c r="L41" s="335">
        <v>1</v>
      </c>
      <c r="M41" s="297">
        <v>0</v>
      </c>
    </row>
    <row r="42" spans="2:16" ht="15.75" thickBot="1" x14ac:dyDescent="0.3">
      <c r="B42" s="1046"/>
      <c r="C42" s="92"/>
      <c r="D42" s="30"/>
      <c r="E42" s="30"/>
      <c r="F42" s="205"/>
      <c r="G42" s="30"/>
      <c r="H42" s="30"/>
      <c r="I42" s="21"/>
      <c r="J42" s="5"/>
      <c r="K42" s="299" t="str">
        <f>+K27</f>
        <v>En formulación</v>
      </c>
      <c r="L42" s="335"/>
      <c r="M42" s="301"/>
    </row>
    <row r="43" spans="2:16" ht="24" customHeight="1" thickBot="1" x14ac:dyDescent="0.3">
      <c r="B43" s="1047"/>
      <c r="C43" s="91"/>
      <c r="D43" s="1051" t="s">
        <v>446</v>
      </c>
      <c r="E43" s="1052"/>
      <c r="F43" s="1052"/>
      <c r="G43" s="1052"/>
      <c r="H43" s="1052"/>
      <c r="I43" s="1053"/>
      <c r="J43" s="5"/>
      <c r="K43" s="299" t="str">
        <f>+K28</f>
        <v>En actualización</v>
      </c>
      <c r="L43" s="335"/>
      <c r="M43" s="301"/>
    </row>
    <row r="44" spans="2:16" ht="24" customHeight="1" thickBot="1" x14ac:dyDescent="0.3">
      <c r="B44" s="46" t="s">
        <v>34</v>
      </c>
      <c r="C44" s="91"/>
      <c r="D44" s="1048" t="s">
        <v>447</v>
      </c>
      <c r="E44" s="1049"/>
      <c r="F44" s="1049"/>
      <c r="G44" s="1049"/>
      <c r="H44" s="1049"/>
      <c r="I44" s="1050"/>
      <c r="J44" s="5"/>
      <c r="K44" s="299" t="str">
        <f>+K29</f>
        <v>Plan forestal adoptado</v>
      </c>
      <c r="L44" s="335"/>
      <c r="M44" s="301"/>
    </row>
    <row r="45" spans="2:16" ht="24.75" thickBot="1" x14ac:dyDescent="0.3">
      <c r="B45" s="46" t="s">
        <v>36</v>
      </c>
      <c r="C45" s="91"/>
      <c r="D45" s="1048" t="s">
        <v>346</v>
      </c>
      <c r="E45" s="1049"/>
      <c r="F45" s="1049"/>
      <c r="G45" s="1049"/>
      <c r="H45" s="1049"/>
      <c r="I45" s="1050"/>
      <c r="J45" s="5"/>
      <c r="K45" s="299" t="s">
        <v>151</v>
      </c>
      <c r="L45" s="295">
        <f>SUM(L41:L44)</f>
        <v>1</v>
      </c>
      <c r="M45" s="297">
        <f>+M46/L45</f>
        <v>0</v>
      </c>
    </row>
    <row r="46" spans="2:16" ht="15" customHeight="1" thickBot="1" x14ac:dyDescent="0.3">
      <c r="B46" s="1"/>
      <c r="C46" s="74"/>
      <c r="D46" s="5"/>
      <c r="E46" s="5"/>
      <c r="F46" s="5"/>
      <c r="G46" s="5"/>
      <c r="H46" s="5"/>
      <c r="I46" s="5"/>
      <c r="J46" s="5"/>
      <c r="K46" s="299"/>
      <c r="L46" s="299" t="s">
        <v>1227</v>
      </c>
      <c r="M46" s="295">
        <f>+L41*M41+L42*M42+L43*M43+L44*M44</f>
        <v>0</v>
      </c>
    </row>
    <row r="47" spans="2:16" ht="24" customHeight="1" thickBot="1" x14ac:dyDescent="0.3">
      <c r="B47" s="1054" t="s">
        <v>38</v>
      </c>
      <c r="C47" s="1055"/>
      <c r="D47" s="1055"/>
      <c r="E47" s="1056"/>
      <c r="F47" s="5"/>
      <c r="G47" s="5"/>
      <c r="H47" s="5"/>
      <c r="I47" s="5"/>
      <c r="J47" s="5"/>
      <c r="K47" s="5"/>
      <c r="L47" s="5"/>
      <c r="M47" s="5"/>
      <c r="N47" s="5"/>
    </row>
    <row r="48" spans="2:16" ht="15" customHeight="1" thickBot="1" x14ac:dyDescent="0.3">
      <c r="B48" s="1045">
        <v>1</v>
      </c>
      <c r="C48" s="92"/>
      <c r="D48" s="47" t="s">
        <v>39</v>
      </c>
      <c r="E48" s="30" t="s">
        <v>1771</v>
      </c>
      <c r="F48" s="5"/>
      <c r="G48" s="5"/>
      <c r="H48" s="5"/>
      <c r="I48" s="5"/>
      <c r="J48" s="5"/>
      <c r="K48" s="5"/>
      <c r="L48" s="5"/>
      <c r="M48" s="5"/>
      <c r="N48" s="5"/>
    </row>
    <row r="49" spans="2:14" ht="15" customHeight="1" thickBot="1" x14ac:dyDescent="0.3">
      <c r="B49" s="1046"/>
      <c r="C49" s="92"/>
      <c r="D49" s="40" t="s">
        <v>40</v>
      </c>
      <c r="E49" s="30" t="s">
        <v>1772</v>
      </c>
      <c r="F49" s="5"/>
      <c r="G49" s="5"/>
      <c r="H49" s="5"/>
      <c r="I49" s="5"/>
      <c r="J49" s="5"/>
      <c r="K49" s="5"/>
      <c r="L49" s="5"/>
      <c r="M49" s="5"/>
      <c r="N49" s="5"/>
    </row>
    <row r="50" spans="2:14" ht="15" customHeight="1" thickBot="1" x14ac:dyDescent="0.3">
      <c r="B50" s="1046"/>
      <c r="C50" s="92"/>
      <c r="D50" s="40" t="s">
        <v>41</v>
      </c>
      <c r="E50" s="30" t="s">
        <v>1774</v>
      </c>
      <c r="F50" s="5"/>
      <c r="G50" s="5"/>
      <c r="H50" s="5"/>
      <c r="I50" s="5"/>
      <c r="J50" s="5"/>
      <c r="K50" s="5"/>
      <c r="L50" s="5"/>
      <c r="M50" s="5"/>
      <c r="N50" s="5"/>
    </row>
    <row r="51" spans="2:14" ht="15" customHeight="1" thickBot="1" x14ac:dyDescent="0.3">
      <c r="B51" s="1046"/>
      <c r="C51" s="92"/>
      <c r="D51" s="40" t="s">
        <v>42</v>
      </c>
      <c r="E51" s="30" t="s">
        <v>1494</v>
      </c>
      <c r="F51" s="5"/>
      <c r="G51" s="5"/>
      <c r="H51" s="5"/>
      <c r="I51" s="5"/>
      <c r="J51" s="5"/>
      <c r="K51" s="5"/>
      <c r="L51" s="5"/>
      <c r="M51" s="5"/>
      <c r="N51" s="5"/>
    </row>
    <row r="52" spans="2:14" ht="15" customHeight="1" thickBot="1" x14ac:dyDescent="0.3">
      <c r="B52" s="1046"/>
      <c r="C52" s="92"/>
      <c r="D52" s="40" t="s">
        <v>43</v>
      </c>
      <c r="E52" s="515" t="s">
        <v>1775</v>
      </c>
      <c r="F52" s="5"/>
      <c r="G52" s="5"/>
      <c r="H52" s="5"/>
      <c r="I52" s="5"/>
      <c r="J52" s="5"/>
      <c r="K52" s="5"/>
      <c r="L52" s="5"/>
    </row>
    <row r="53" spans="2:14" ht="15" customHeight="1" thickBot="1" x14ac:dyDescent="0.3">
      <c r="B53" s="1046"/>
      <c r="C53" s="92"/>
      <c r="D53" s="40" t="s">
        <v>44</v>
      </c>
      <c r="E53" s="30">
        <v>4380200</v>
      </c>
      <c r="F53" s="5"/>
      <c r="G53" s="5"/>
      <c r="H53" s="5"/>
      <c r="I53" s="5"/>
      <c r="J53" s="5"/>
      <c r="K53" s="5"/>
      <c r="L53" s="5"/>
    </row>
    <row r="54" spans="2:14" ht="15" customHeight="1" thickBot="1" x14ac:dyDescent="0.3">
      <c r="B54" s="1047"/>
      <c r="C54" s="2"/>
      <c r="D54" s="40" t="s">
        <v>45</v>
      </c>
      <c r="E54" s="30" t="s">
        <v>1773</v>
      </c>
      <c r="F54" s="5"/>
      <c r="G54" s="5"/>
      <c r="H54" s="5"/>
      <c r="I54" s="5"/>
      <c r="J54" s="5"/>
      <c r="K54" s="5"/>
      <c r="L54" s="5"/>
    </row>
    <row r="55" spans="2:14" ht="15" customHeight="1" thickBot="1" x14ac:dyDescent="0.3">
      <c r="B55" s="1"/>
      <c r="C55" s="74"/>
      <c r="D55" s="5"/>
      <c r="E55" s="5"/>
      <c r="F55" s="5"/>
      <c r="G55" s="5"/>
      <c r="H55" s="5"/>
      <c r="I55" s="5"/>
      <c r="J55" s="5"/>
      <c r="K55" s="5"/>
      <c r="L55" s="5"/>
    </row>
    <row r="56" spans="2:14" ht="15" customHeight="1" thickBot="1" x14ac:dyDescent="0.3">
      <c r="B56" s="1054" t="s">
        <v>46</v>
      </c>
      <c r="C56" s="1055"/>
      <c r="D56" s="1055"/>
      <c r="E56" s="1056"/>
      <c r="F56" s="5"/>
      <c r="G56" s="5"/>
      <c r="H56" s="5"/>
      <c r="I56" s="5"/>
      <c r="J56" s="5"/>
      <c r="K56" s="5"/>
      <c r="L56" s="5"/>
    </row>
    <row r="57" spans="2:14" ht="15" customHeight="1" thickBot="1" x14ac:dyDescent="0.3">
      <c r="B57" s="1045">
        <v>1</v>
      </c>
      <c r="C57" s="92"/>
      <c r="D57" s="47" t="s">
        <v>39</v>
      </c>
      <c r="E57" s="217" t="s">
        <v>47</v>
      </c>
      <c r="F57" s="5"/>
      <c r="G57" s="5"/>
      <c r="H57" s="5"/>
      <c r="I57" s="5"/>
      <c r="J57" s="5"/>
      <c r="K57" s="5"/>
      <c r="L57" s="5"/>
    </row>
    <row r="58" spans="2:14" ht="15" customHeight="1" thickBot="1" x14ac:dyDescent="0.3">
      <c r="B58" s="1046"/>
      <c r="C58" s="92"/>
      <c r="D58" s="40" t="s">
        <v>40</v>
      </c>
      <c r="E58" s="217" t="s">
        <v>160</v>
      </c>
      <c r="F58" s="5"/>
      <c r="G58" s="5"/>
      <c r="H58" s="5"/>
      <c r="I58" s="5"/>
      <c r="J58" s="5"/>
      <c r="K58" s="5"/>
      <c r="L58" s="5"/>
    </row>
    <row r="59" spans="2:14" ht="15" customHeight="1" thickBot="1" x14ac:dyDescent="0.3">
      <c r="B59" s="1046"/>
      <c r="C59" s="92"/>
      <c r="D59" s="40" t="s">
        <v>41</v>
      </c>
      <c r="E59" s="237"/>
      <c r="F59" s="5"/>
      <c r="G59" s="5"/>
      <c r="H59" s="5"/>
      <c r="I59" s="5"/>
      <c r="J59" s="5"/>
      <c r="K59" s="5"/>
      <c r="L59" s="5"/>
    </row>
    <row r="60" spans="2:14" ht="15" customHeight="1" thickBot="1" x14ac:dyDescent="0.3">
      <c r="B60" s="1046"/>
      <c r="C60" s="92"/>
      <c r="D60" s="40" t="s">
        <v>42</v>
      </c>
      <c r="E60" s="237"/>
      <c r="F60" s="5"/>
      <c r="G60" s="5"/>
      <c r="H60" s="5"/>
      <c r="I60" s="5"/>
      <c r="J60" s="5"/>
      <c r="K60" s="5"/>
      <c r="L60" s="5"/>
    </row>
    <row r="61" spans="2:14" ht="15.75" thickBot="1" x14ac:dyDescent="0.3">
      <c r="B61" s="1046"/>
      <c r="C61" s="92"/>
      <c r="D61" s="40" t="s">
        <v>43</v>
      </c>
      <c r="E61" s="237"/>
      <c r="F61" s="5"/>
      <c r="G61" s="5"/>
      <c r="H61" s="5"/>
      <c r="I61" s="5"/>
      <c r="J61" s="5"/>
      <c r="K61" s="5"/>
      <c r="L61" s="5"/>
    </row>
    <row r="62" spans="2:14" ht="15.75" thickBot="1" x14ac:dyDescent="0.3">
      <c r="B62" s="1046"/>
      <c r="C62" s="92"/>
      <c r="D62" s="40" t="s">
        <v>44</v>
      </c>
      <c r="E62" s="237"/>
      <c r="F62" s="5"/>
      <c r="G62" s="5"/>
      <c r="H62" s="5"/>
      <c r="I62" s="5"/>
      <c r="J62" s="5"/>
      <c r="K62" s="5"/>
      <c r="L62" s="5"/>
    </row>
    <row r="63" spans="2:14" ht="15" customHeight="1" thickBot="1" x14ac:dyDescent="0.3">
      <c r="B63" s="1047"/>
      <c r="C63" s="2"/>
      <c r="D63" s="40" t="s">
        <v>45</v>
      </c>
      <c r="E63" s="237"/>
      <c r="F63" s="5"/>
      <c r="G63" s="5"/>
      <c r="H63" s="5"/>
      <c r="I63" s="5"/>
      <c r="J63" s="5"/>
      <c r="K63" s="5"/>
      <c r="L63" s="5"/>
    </row>
    <row r="64" spans="2:14" ht="15" customHeight="1" thickBot="1" x14ac:dyDescent="0.3">
      <c r="B64" s="128"/>
      <c r="C64" s="99"/>
      <c r="D64" s="128"/>
      <c r="E64" s="5"/>
      <c r="F64" s="5"/>
      <c r="G64" s="5"/>
      <c r="H64" s="5"/>
      <c r="I64" s="5"/>
      <c r="J64" s="5"/>
      <c r="K64" s="5"/>
      <c r="L64" s="5"/>
    </row>
    <row r="65" spans="2:12" ht="15" customHeight="1" x14ac:dyDescent="0.25">
      <c r="B65" s="127" t="s">
        <v>417</v>
      </c>
      <c r="C65" s="94"/>
      <c r="D65" s="5"/>
      <c r="E65" s="5"/>
      <c r="F65" s="5"/>
      <c r="G65" s="5"/>
      <c r="H65" s="5"/>
      <c r="I65" s="5"/>
      <c r="J65" s="5"/>
      <c r="K65" s="5"/>
      <c r="L65" s="5"/>
    </row>
    <row r="66" spans="2:12" x14ac:dyDescent="0.25">
      <c r="B66" s="1075"/>
      <c r="C66" s="1076"/>
      <c r="D66" s="1077"/>
      <c r="E66" s="5"/>
      <c r="F66" s="5"/>
      <c r="G66" s="5"/>
      <c r="H66" s="5"/>
      <c r="I66" s="5"/>
      <c r="J66" s="5"/>
      <c r="K66" s="5"/>
      <c r="L66" s="5"/>
    </row>
    <row r="67" spans="2:12" x14ac:dyDescent="0.25">
      <c r="B67" s="1078"/>
      <c r="C67" s="1079"/>
      <c r="D67" s="1080"/>
      <c r="E67" s="5"/>
      <c r="F67" s="5"/>
      <c r="G67" s="5"/>
      <c r="H67" s="5"/>
      <c r="I67" s="5"/>
      <c r="J67" s="5"/>
      <c r="K67" s="5"/>
      <c r="L67" s="5"/>
    </row>
    <row r="68" spans="2:12" ht="15.75" thickBot="1" x14ac:dyDescent="0.3">
      <c r="B68" s="128"/>
      <c r="C68" s="99"/>
      <c r="D68" s="128"/>
      <c r="E68" s="5"/>
      <c r="F68" s="5"/>
      <c r="G68" s="5"/>
      <c r="H68" s="5"/>
      <c r="I68" s="5"/>
      <c r="J68" s="5"/>
      <c r="K68" s="5"/>
      <c r="L68" s="5"/>
    </row>
    <row r="69" spans="2:12" ht="15.75" thickBot="1" x14ac:dyDescent="0.3">
      <c r="B69" s="1054" t="s">
        <v>49</v>
      </c>
      <c r="C69" s="1055"/>
      <c r="D69" s="1055"/>
      <c r="E69" s="1055"/>
      <c r="F69" s="1056"/>
      <c r="G69" s="5"/>
      <c r="H69" s="5"/>
      <c r="I69" s="5"/>
      <c r="J69" s="5"/>
      <c r="K69" s="5"/>
      <c r="L69" s="5"/>
    </row>
    <row r="70" spans="2:12" ht="24.75" thickBot="1" x14ac:dyDescent="0.3">
      <c r="B70" s="46" t="s">
        <v>50</v>
      </c>
      <c r="C70" s="40" t="s">
        <v>51</v>
      </c>
      <c r="D70" s="40" t="s">
        <v>52</v>
      </c>
      <c r="E70" s="40" t="s">
        <v>53</v>
      </c>
      <c r="F70" s="5"/>
      <c r="G70" s="5"/>
      <c r="H70" s="5"/>
      <c r="I70" s="5"/>
      <c r="J70" s="5"/>
      <c r="K70" s="5"/>
      <c r="L70" s="5"/>
    </row>
    <row r="71" spans="2:12" ht="72.75" thickBot="1" x14ac:dyDescent="0.3">
      <c r="B71" s="48">
        <v>42401</v>
      </c>
      <c r="C71" s="40">
        <v>0.01</v>
      </c>
      <c r="D71" s="49" t="s">
        <v>448</v>
      </c>
      <c r="E71" s="40"/>
      <c r="F71" s="5"/>
      <c r="G71" s="5"/>
      <c r="H71" s="5"/>
      <c r="I71" s="5"/>
      <c r="J71" s="5"/>
      <c r="K71" s="5"/>
    </row>
    <row r="72" spans="2:12" x14ac:dyDescent="0.25">
      <c r="B72" s="1"/>
      <c r="C72" s="74"/>
      <c r="D72" s="5"/>
      <c r="E72" s="5"/>
      <c r="F72" s="5"/>
      <c r="G72" s="5"/>
      <c r="H72" s="5"/>
      <c r="I72" s="5"/>
      <c r="J72" s="5"/>
      <c r="K72" s="5"/>
    </row>
    <row r="73" spans="2:12" ht="15.75" thickBot="1" x14ac:dyDescent="0.3">
      <c r="B73" s="5"/>
      <c r="D73" s="5"/>
      <c r="E73" s="5"/>
      <c r="F73" s="5"/>
      <c r="G73" s="5"/>
      <c r="H73" s="5"/>
      <c r="I73" s="5"/>
      <c r="J73" s="5"/>
      <c r="K73" s="5"/>
      <c r="L73" s="5"/>
    </row>
    <row r="74" spans="2:12" ht="15.75" thickBot="1" x14ac:dyDescent="0.3">
      <c r="B74" s="1054" t="s">
        <v>56</v>
      </c>
      <c r="C74" s="1055"/>
      <c r="D74" s="1056"/>
      <c r="E74" s="5"/>
      <c r="F74" s="5"/>
      <c r="G74" s="5"/>
      <c r="H74" s="5"/>
      <c r="I74" s="5"/>
      <c r="J74" s="5"/>
      <c r="K74" s="5"/>
      <c r="L74" s="5"/>
    </row>
    <row r="75" spans="2:12" ht="60.75" thickBot="1" x14ac:dyDescent="0.3">
      <c r="B75" s="46" t="s">
        <v>57</v>
      </c>
      <c r="C75" s="2"/>
      <c r="D75" s="40" t="s">
        <v>419</v>
      </c>
      <c r="E75" s="5"/>
      <c r="F75" s="5"/>
      <c r="G75" s="5"/>
      <c r="H75" s="5"/>
      <c r="I75" s="5"/>
      <c r="J75" s="5"/>
      <c r="K75" s="5"/>
      <c r="L75" s="5"/>
    </row>
    <row r="76" spans="2:12" x14ac:dyDescent="0.25">
      <c r="B76" s="1045" t="s">
        <v>59</v>
      </c>
      <c r="C76" s="92"/>
      <c r="D76" s="52" t="s">
        <v>60</v>
      </c>
      <c r="E76" s="5"/>
      <c r="F76" s="5"/>
      <c r="G76" s="5"/>
      <c r="H76" s="5"/>
      <c r="I76" s="5"/>
      <c r="J76" s="5"/>
      <c r="K76" s="5"/>
      <c r="L76" s="5"/>
    </row>
    <row r="77" spans="2:12" ht="132" x14ac:dyDescent="0.25">
      <c r="B77" s="1046"/>
      <c r="C77" s="92"/>
      <c r="D77" s="45" t="s">
        <v>420</v>
      </c>
      <c r="E77" s="5"/>
      <c r="F77" s="5"/>
      <c r="G77" s="5"/>
      <c r="H77" s="5"/>
      <c r="I77" s="5"/>
      <c r="J77" s="5"/>
      <c r="K77" s="5"/>
      <c r="L77" s="5"/>
    </row>
    <row r="78" spans="2:12" x14ac:dyDescent="0.25">
      <c r="B78" s="1046"/>
      <c r="C78" s="92"/>
      <c r="D78" s="52" t="s">
        <v>63</v>
      </c>
      <c r="E78" s="5"/>
      <c r="F78" s="5"/>
      <c r="G78" s="5"/>
      <c r="H78" s="5"/>
      <c r="I78" s="5"/>
      <c r="J78" s="5"/>
      <c r="K78" s="5"/>
      <c r="L78" s="5"/>
    </row>
    <row r="79" spans="2:12" x14ac:dyDescent="0.25">
      <c r="B79" s="1046"/>
      <c r="C79" s="92"/>
      <c r="D79" s="60" t="s">
        <v>421</v>
      </c>
      <c r="E79" s="5"/>
      <c r="F79" s="5"/>
      <c r="G79" s="5"/>
      <c r="H79" s="5"/>
      <c r="I79" s="5"/>
      <c r="J79" s="5"/>
      <c r="K79" s="5"/>
      <c r="L79" s="5"/>
    </row>
    <row r="80" spans="2:12" x14ac:dyDescent="0.25">
      <c r="B80" s="1046"/>
      <c r="C80" s="92"/>
      <c r="D80" s="60" t="s">
        <v>422</v>
      </c>
      <c r="E80" s="5"/>
      <c r="F80" s="5"/>
      <c r="G80" s="5"/>
      <c r="H80" s="5"/>
      <c r="I80" s="5"/>
      <c r="J80" s="5"/>
      <c r="K80" s="5"/>
      <c r="L80" s="5"/>
    </row>
    <row r="81" spans="2:12" x14ac:dyDescent="0.25">
      <c r="B81" s="1046"/>
      <c r="C81" s="92"/>
      <c r="D81" s="60" t="s">
        <v>423</v>
      </c>
      <c r="E81" s="5"/>
      <c r="F81" s="5"/>
      <c r="G81" s="5"/>
      <c r="H81" s="5"/>
      <c r="I81" s="5"/>
      <c r="J81" s="5"/>
      <c r="K81" s="5"/>
      <c r="L81" s="5"/>
    </row>
    <row r="82" spans="2:12" x14ac:dyDescent="0.25">
      <c r="B82" s="1046"/>
      <c r="C82" s="92"/>
      <c r="D82" s="60" t="s">
        <v>424</v>
      </c>
      <c r="E82" s="5"/>
      <c r="F82" s="5"/>
      <c r="G82" s="5"/>
      <c r="H82" s="5"/>
      <c r="I82" s="5"/>
      <c r="J82" s="5"/>
      <c r="K82" s="5"/>
      <c r="L82" s="5"/>
    </row>
    <row r="83" spans="2:12" x14ac:dyDescent="0.25">
      <c r="B83" s="1046"/>
      <c r="C83" s="92"/>
      <c r="D83" s="52" t="s">
        <v>288</v>
      </c>
      <c r="E83" s="5"/>
      <c r="F83" s="5"/>
      <c r="G83" s="5"/>
      <c r="H83" s="5"/>
      <c r="I83" s="5"/>
      <c r="J83" s="5"/>
      <c r="K83" s="5"/>
      <c r="L83" s="5"/>
    </row>
    <row r="84" spans="2:12" ht="36.75" thickBot="1" x14ac:dyDescent="0.3">
      <c r="B84" s="1047"/>
      <c r="C84" s="2"/>
      <c r="D84" s="40" t="s">
        <v>353</v>
      </c>
      <c r="E84" s="5"/>
      <c r="F84" s="5"/>
      <c r="G84" s="5"/>
      <c r="H84" s="5"/>
      <c r="I84" s="5"/>
      <c r="J84" s="5"/>
      <c r="K84" s="5"/>
      <c r="L84" s="5"/>
    </row>
    <row r="85" spans="2:12" x14ac:dyDescent="0.25">
      <c r="B85" s="1045" t="s">
        <v>72</v>
      </c>
      <c r="C85" s="97"/>
      <c r="D85" s="1045"/>
      <c r="E85" s="5"/>
      <c r="F85" s="5"/>
      <c r="G85" s="5"/>
      <c r="H85" s="5"/>
      <c r="I85" s="5"/>
      <c r="J85" s="5"/>
      <c r="K85" s="5"/>
      <c r="L85" s="5"/>
    </row>
    <row r="86" spans="2:12" ht="15.75" thickBot="1" x14ac:dyDescent="0.3">
      <c r="B86" s="1047"/>
      <c r="C86" s="98"/>
      <c r="D86" s="1047"/>
      <c r="E86" s="5"/>
      <c r="F86" s="5"/>
      <c r="G86" s="5"/>
      <c r="H86" s="5"/>
      <c r="I86" s="5"/>
      <c r="J86" s="5"/>
      <c r="K86" s="5"/>
      <c r="L86" s="5"/>
    </row>
    <row r="87" spans="2:12" ht="132" x14ac:dyDescent="0.25">
      <c r="B87" s="1045" t="s">
        <v>73</v>
      </c>
      <c r="C87" s="92"/>
      <c r="D87" s="45" t="s">
        <v>425</v>
      </c>
      <c r="E87" s="5"/>
      <c r="F87" s="5"/>
      <c r="G87" s="5"/>
      <c r="H87" s="5"/>
      <c r="I87" s="5"/>
      <c r="J87" s="5"/>
      <c r="K87" s="5"/>
      <c r="L87" s="5"/>
    </row>
    <row r="88" spans="2:12" ht="120.75" thickBot="1" x14ac:dyDescent="0.3">
      <c r="B88" s="1047"/>
      <c r="C88" s="2"/>
      <c r="D88" s="40" t="s">
        <v>426</v>
      </c>
      <c r="E88" s="5"/>
      <c r="F88" s="5"/>
      <c r="G88" s="5"/>
      <c r="H88" s="5"/>
      <c r="I88" s="5"/>
      <c r="J88" s="5"/>
      <c r="K88" s="5"/>
      <c r="L88" s="5"/>
    </row>
    <row r="89" spans="2:12" ht="24" x14ac:dyDescent="0.25">
      <c r="B89" s="1045" t="s">
        <v>90</v>
      </c>
      <c r="C89" s="92"/>
      <c r="D89" s="52" t="s">
        <v>418</v>
      </c>
      <c r="E89" s="5"/>
      <c r="F89" s="5"/>
      <c r="G89" s="5"/>
      <c r="H89" s="5"/>
      <c r="I89" s="5"/>
      <c r="J89" s="5"/>
      <c r="K89" s="5"/>
      <c r="L89" s="5"/>
    </row>
    <row r="90" spans="2:12" x14ac:dyDescent="0.25">
      <c r="B90" s="1046"/>
      <c r="C90" s="92"/>
      <c r="D90" s="16"/>
      <c r="E90" s="5"/>
      <c r="F90" s="5"/>
      <c r="G90" s="5"/>
      <c r="H90" s="5"/>
      <c r="I90" s="5"/>
      <c r="J90" s="5"/>
      <c r="K90" s="5"/>
      <c r="L90" s="5"/>
    </row>
    <row r="91" spans="2:12" x14ac:dyDescent="0.25">
      <c r="B91" s="1046"/>
      <c r="C91" s="92"/>
      <c r="D91" s="45" t="s">
        <v>91</v>
      </c>
      <c r="E91" s="5"/>
      <c r="F91" s="5"/>
      <c r="G91" s="5"/>
      <c r="H91" s="5"/>
      <c r="I91" s="5"/>
      <c r="J91" s="5"/>
      <c r="K91" s="5"/>
      <c r="L91" s="5"/>
    </row>
    <row r="92" spans="2:12" ht="37.5" x14ac:dyDescent="0.25">
      <c r="B92" s="1046"/>
      <c r="C92" s="92"/>
      <c r="D92" s="45" t="s">
        <v>427</v>
      </c>
      <c r="E92" s="5"/>
      <c r="F92" s="5"/>
      <c r="G92" s="5"/>
      <c r="H92" s="5"/>
      <c r="I92" s="5"/>
      <c r="J92" s="5"/>
      <c r="K92" s="5"/>
      <c r="L92" s="5"/>
    </row>
    <row r="93" spans="2:12" ht="37.5" x14ac:dyDescent="0.25">
      <c r="B93" s="1046"/>
      <c r="C93" s="92"/>
      <c r="D93" s="45" t="s">
        <v>428</v>
      </c>
      <c r="E93" s="5"/>
      <c r="F93" s="5"/>
      <c r="G93" s="5"/>
      <c r="H93" s="5"/>
      <c r="I93" s="5"/>
      <c r="J93" s="5"/>
      <c r="K93" s="5"/>
      <c r="L93" s="5"/>
    </row>
    <row r="94" spans="2:12" ht="38.25" thickBot="1" x14ac:dyDescent="0.3">
      <c r="B94" s="1047"/>
      <c r="C94" s="2"/>
      <c r="D94" s="40" t="s">
        <v>429</v>
      </c>
      <c r="E94" s="5"/>
      <c r="F94" s="5"/>
      <c r="G94" s="5"/>
      <c r="H94" s="5"/>
      <c r="I94" s="5"/>
      <c r="J94" s="5"/>
      <c r="K94" s="5"/>
      <c r="L94" s="5"/>
    </row>
    <row r="95" spans="2:12" x14ac:dyDescent="0.25">
      <c r="B95" s="5"/>
      <c r="D95" s="5"/>
      <c r="E95" s="5"/>
      <c r="F95" s="5"/>
      <c r="G95" s="5"/>
      <c r="H95" s="5"/>
      <c r="I95" s="5"/>
      <c r="J95" s="5"/>
      <c r="K95" s="5"/>
      <c r="L95" s="5"/>
    </row>
    <row r="96" spans="2:12" x14ac:dyDescent="0.25">
      <c r="B96" s="5"/>
      <c r="D96" s="5"/>
      <c r="E96" s="5"/>
      <c r="F96" s="5"/>
      <c r="G96" s="5"/>
      <c r="H96" s="5"/>
      <c r="I96" s="5"/>
      <c r="J96" s="5"/>
      <c r="K96" s="5"/>
      <c r="L96" s="5"/>
    </row>
    <row r="97" spans="2:12" x14ac:dyDescent="0.25">
      <c r="B97" s="5"/>
      <c r="D97" s="5"/>
      <c r="E97" s="5"/>
      <c r="F97" s="5"/>
      <c r="G97" s="5"/>
      <c r="H97" s="5"/>
      <c r="I97" s="5"/>
      <c r="J97" s="5"/>
      <c r="K97" s="5"/>
      <c r="L97" s="5"/>
    </row>
    <row r="98" spans="2:12" x14ac:dyDescent="0.25">
      <c r="B98" s="5"/>
      <c r="D98" s="5"/>
      <c r="E98" s="5"/>
      <c r="F98" s="5"/>
      <c r="G98" s="5"/>
      <c r="H98" s="5"/>
      <c r="I98" s="5"/>
      <c r="J98" s="5"/>
      <c r="K98" s="5"/>
      <c r="L98" s="5"/>
    </row>
    <row r="99" spans="2:12" x14ac:dyDescent="0.25">
      <c r="B99" s="5"/>
      <c r="D99" s="5"/>
      <c r="E99" s="5"/>
      <c r="F99" s="5"/>
      <c r="G99" s="5"/>
      <c r="H99" s="5"/>
      <c r="I99" s="5"/>
      <c r="J99" s="5"/>
      <c r="K99" s="5"/>
      <c r="L99" s="5"/>
    </row>
    <row r="100" spans="2:12" x14ac:dyDescent="0.25">
      <c r="B100" s="5"/>
      <c r="D100" s="5"/>
      <c r="E100" s="5"/>
      <c r="F100" s="5"/>
      <c r="G100" s="5"/>
      <c r="H100" s="5"/>
      <c r="I100" s="5"/>
      <c r="J100" s="5"/>
      <c r="K100" s="5"/>
      <c r="L100" s="5"/>
    </row>
    <row r="101" spans="2:12" x14ac:dyDescent="0.25">
      <c r="B101" s="5"/>
      <c r="D101" s="5"/>
      <c r="E101" s="5"/>
      <c r="F101" s="5"/>
      <c r="G101" s="5"/>
      <c r="H101" s="5"/>
      <c r="I101" s="5"/>
      <c r="J101" s="5"/>
      <c r="K101" s="5"/>
      <c r="L101" s="5"/>
    </row>
    <row r="102" spans="2:12" x14ac:dyDescent="0.25">
      <c r="B102" s="5"/>
      <c r="D102" s="5"/>
      <c r="E102" s="5"/>
      <c r="F102" s="5"/>
      <c r="G102" s="5"/>
      <c r="H102" s="5"/>
      <c r="I102" s="5"/>
      <c r="J102" s="5"/>
      <c r="K102" s="5"/>
      <c r="L102" s="5"/>
    </row>
    <row r="103" spans="2:12" x14ac:dyDescent="0.25">
      <c r="B103" s="5"/>
      <c r="D103" s="5"/>
      <c r="E103" s="5"/>
      <c r="F103" s="5"/>
      <c r="G103" s="5"/>
      <c r="H103" s="5"/>
      <c r="I103" s="5"/>
      <c r="J103" s="5"/>
      <c r="K103" s="5"/>
      <c r="L103" s="5"/>
    </row>
    <row r="104" spans="2:12" x14ac:dyDescent="0.25">
      <c r="B104" s="5"/>
      <c r="D104" s="5"/>
      <c r="E104" s="5"/>
      <c r="F104" s="5"/>
      <c r="G104" s="5"/>
      <c r="H104" s="5"/>
      <c r="I104" s="5"/>
      <c r="J104" s="5"/>
      <c r="K104" s="5"/>
      <c r="L104" s="5"/>
    </row>
    <row r="105" spans="2:12" x14ac:dyDescent="0.25">
      <c r="B105" s="5"/>
      <c r="D105" s="5"/>
      <c r="E105" s="5"/>
      <c r="F105" s="5"/>
      <c r="G105" s="5"/>
      <c r="H105" s="5"/>
      <c r="I105" s="5"/>
      <c r="J105" s="5"/>
      <c r="K105" s="5"/>
      <c r="L105" s="5"/>
    </row>
    <row r="106" spans="2:12" x14ac:dyDescent="0.25">
      <c r="B106" s="5"/>
      <c r="D106" s="5"/>
      <c r="E106" s="5"/>
      <c r="F106" s="5"/>
      <c r="G106" s="5"/>
      <c r="H106" s="5"/>
      <c r="I106" s="5"/>
      <c r="J106" s="5"/>
      <c r="K106" s="5"/>
      <c r="L106" s="5"/>
    </row>
    <row r="107" spans="2:12" x14ac:dyDescent="0.25">
      <c r="B107" s="5"/>
      <c r="D107" s="5"/>
      <c r="E107" s="5"/>
      <c r="F107" s="5"/>
      <c r="G107" s="5"/>
      <c r="H107" s="5"/>
      <c r="I107" s="5"/>
      <c r="J107" s="5"/>
      <c r="K107" s="5"/>
      <c r="L107" s="5"/>
    </row>
    <row r="108" spans="2:12" x14ac:dyDescent="0.25">
      <c r="B108" s="5"/>
      <c r="D108" s="5"/>
      <c r="E108" s="5"/>
      <c r="F108" s="5"/>
      <c r="G108" s="5"/>
      <c r="H108" s="5"/>
      <c r="I108" s="5"/>
      <c r="J108" s="5"/>
      <c r="K108" s="5"/>
      <c r="L108" s="5"/>
    </row>
    <row r="109" spans="2:12" x14ac:dyDescent="0.25">
      <c r="B109" s="5"/>
      <c r="D109" s="5"/>
      <c r="E109" s="5"/>
      <c r="F109" s="5"/>
      <c r="G109" s="5"/>
      <c r="H109" s="5"/>
      <c r="I109" s="5"/>
      <c r="J109" s="5"/>
      <c r="K109" s="5"/>
      <c r="L109" s="5"/>
    </row>
    <row r="110" spans="2:12" x14ac:dyDescent="0.25">
      <c r="B110" s="5"/>
      <c r="D110" s="5"/>
      <c r="E110" s="5"/>
      <c r="F110" s="5"/>
      <c r="G110" s="5"/>
      <c r="H110" s="5"/>
      <c r="I110" s="5"/>
      <c r="J110" s="5"/>
      <c r="K110" s="5"/>
      <c r="L110" s="5"/>
    </row>
    <row r="111" spans="2:12" x14ac:dyDescent="0.25">
      <c r="B111" s="5"/>
      <c r="D111" s="5"/>
      <c r="E111" s="5"/>
      <c r="F111" s="5"/>
      <c r="G111" s="5"/>
      <c r="H111" s="5"/>
      <c r="I111" s="5"/>
      <c r="J111" s="5"/>
      <c r="K111" s="5"/>
      <c r="L111" s="5"/>
    </row>
    <row r="112" spans="2:12" x14ac:dyDescent="0.25">
      <c r="B112" s="5"/>
      <c r="D112" s="5"/>
      <c r="E112" s="5"/>
      <c r="F112" s="5"/>
      <c r="G112" s="5"/>
      <c r="H112" s="5"/>
      <c r="I112" s="5"/>
      <c r="J112" s="5"/>
      <c r="K112" s="5"/>
      <c r="L112" s="5"/>
    </row>
    <row r="113" spans="2:12" x14ac:dyDescent="0.25">
      <c r="B113" s="5"/>
      <c r="D113" s="5"/>
      <c r="E113" s="5"/>
      <c r="F113" s="5"/>
      <c r="G113" s="5"/>
      <c r="H113" s="5"/>
      <c r="I113" s="5"/>
      <c r="J113" s="5"/>
      <c r="K113" s="5"/>
      <c r="L113" s="5"/>
    </row>
    <row r="114" spans="2:12" x14ac:dyDescent="0.25">
      <c r="B114" s="5"/>
      <c r="D114" s="5"/>
      <c r="E114" s="5"/>
      <c r="F114" s="5"/>
      <c r="G114" s="5"/>
      <c r="H114" s="5"/>
      <c r="I114" s="5"/>
      <c r="J114" s="5"/>
      <c r="K114" s="5"/>
      <c r="L114" s="5"/>
    </row>
    <row r="115" spans="2:12" x14ac:dyDescent="0.25">
      <c r="B115" s="5"/>
      <c r="D115" s="5"/>
      <c r="E115" s="5"/>
      <c r="F115" s="5"/>
      <c r="G115" s="5"/>
      <c r="H115" s="5"/>
      <c r="I115" s="5"/>
      <c r="J115" s="5"/>
      <c r="K115" s="5"/>
      <c r="L115" s="5"/>
    </row>
    <row r="116" spans="2:12" x14ac:dyDescent="0.25">
      <c r="B116" s="5"/>
      <c r="D116" s="5"/>
      <c r="E116" s="5"/>
      <c r="F116" s="5"/>
      <c r="G116" s="5"/>
      <c r="H116" s="5"/>
      <c r="I116" s="5"/>
      <c r="J116" s="5"/>
      <c r="K116" s="5"/>
      <c r="L116" s="5"/>
    </row>
    <row r="117" spans="2:12" x14ac:dyDescent="0.25">
      <c r="B117" s="5"/>
      <c r="D117" s="5"/>
      <c r="E117" s="5"/>
      <c r="F117" s="5"/>
      <c r="G117" s="5"/>
      <c r="H117" s="5"/>
      <c r="I117" s="5"/>
      <c r="J117" s="5"/>
      <c r="K117" s="5"/>
      <c r="L117" s="5"/>
    </row>
    <row r="118" spans="2:12" x14ac:dyDescent="0.25">
      <c r="B118" s="5"/>
      <c r="D118" s="5"/>
      <c r="E118" s="5"/>
      <c r="F118" s="5"/>
      <c r="G118" s="5"/>
      <c r="H118" s="5"/>
      <c r="I118" s="5"/>
      <c r="J118" s="5"/>
      <c r="K118" s="5"/>
      <c r="L118" s="5"/>
    </row>
    <row r="119" spans="2:12" x14ac:dyDescent="0.25">
      <c r="B119" s="5"/>
      <c r="D119" s="5"/>
      <c r="E119" s="5"/>
      <c r="F119" s="5"/>
      <c r="G119" s="5"/>
      <c r="H119" s="5"/>
      <c r="I119" s="5"/>
      <c r="J119" s="5"/>
      <c r="K119" s="5"/>
      <c r="L119" s="5"/>
    </row>
    <row r="120" spans="2:12" x14ac:dyDescent="0.25">
      <c r="B120" s="5"/>
      <c r="D120" s="5"/>
      <c r="E120" s="5"/>
      <c r="F120" s="5"/>
      <c r="G120" s="5"/>
      <c r="H120" s="5"/>
      <c r="I120" s="5"/>
      <c r="J120" s="5"/>
      <c r="K120" s="5"/>
      <c r="L120" s="5"/>
    </row>
    <row r="121" spans="2:12" x14ac:dyDescent="0.25">
      <c r="B121" s="5"/>
      <c r="D121" s="5"/>
      <c r="E121" s="5"/>
      <c r="F121" s="5"/>
      <c r="G121" s="5"/>
      <c r="H121" s="5"/>
      <c r="I121" s="5"/>
      <c r="J121" s="5"/>
      <c r="K121" s="5"/>
      <c r="L121" s="5"/>
    </row>
    <row r="122" spans="2:12" x14ac:dyDescent="0.25">
      <c r="B122" s="5"/>
      <c r="D122" s="5"/>
      <c r="E122" s="5"/>
      <c r="F122" s="5"/>
      <c r="G122" s="5"/>
      <c r="H122" s="5"/>
      <c r="I122" s="5"/>
      <c r="J122" s="5"/>
      <c r="K122" s="5"/>
      <c r="L122" s="5"/>
    </row>
    <row r="123" spans="2:12" x14ac:dyDescent="0.25">
      <c r="B123" s="5"/>
      <c r="D123" s="5"/>
      <c r="E123" s="5"/>
      <c r="F123" s="5"/>
      <c r="G123" s="5"/>
      <c r="H123" s="5"/>
      <c r="I123" s="5"/>
      <c r="J123" s="5"/>
      <c r="K123" s="5"/>
      <c r="L123" s="5"/>
    </row>
    <row r="124" spans="2:12" x14ac:dyDescent="0.25">
      <c r="B124" s="5"/>
      <c r="D124" s="5"/>
      <c r="E124" s="5"/>
      <c r="F124" s="5"/>
      <c r="G124" s="5"/>
      <c r="H124" s="5"/>
      <c r="I124" s="5"/>
      <c r="J124" s="5"/>
      <c r="K124" s="5"/>
      <c r="L124" s="5"/>
    </row>
    <row r="125" spans="2:12" x14ac:dyDescent="0.25">
      <c r="B125" s="5"/>
      <c r="D125" s="5"/>
      <c r="E125" s="5"/>
      <c r="F125" s="5"/>
      <c r="G125" s="5"/>
      <c r="H125" s="5"/>
      <c r="I125" s="5"/>
      <c r="J125" s="5"/>
      <c r="K125" s="5"/>
      <c r="L125" s="5"/>
    </row>
    <row r="126" spans="2:12" x14ac:dyDescent="0.25">
      <c r="B126" s="5"/>
      <c r="D126" s="5"/>
      <c r="E126" s="5"/>
      <c r="F126" s="5"/>
      <c r="G126" s="5"/>
      <c r="H126" s="5"/>
      <c r="I126" s="5"/>
      <c r="J126" s="5"/>
      <c r="K126" s="5"/>
      <c r="L126" s="5"/>
    </row>
    <row r="127" spans="2:12" x14ac:dyDescent="0.25">
      <c r="B127" s="5"/>
      <c r="D127" s="5"/>
      <c r="E127" s="5"/>
      <c r="F127" s="5"/>
      <c r="G127" s="5"/>
      <c r="H127" s="5"/>
      <c r="I127" s="5"/>
      <c r="J127" s="5"/>
      <c r="K127" s="5"/>
      <c r="L127" s="5"/>
    </row>
    <row r="128" spans="2:12" x14ac:dyDescent="0.25">
      <c r="B128" s="5"/>
      <c r="D128" s="5"/>
      <c r="E128" s="5"/>
      <c r="F128" s="5"/>
      <c r="G128" s="5"/>
      <c r="H128" s="5"/>
      <c r="I128" s="5"/>
      <c r="J128" s="5"/>
      <c r="K128" s="5"/>
      <c r="L128" s="5"/>
    </row>
    <row r="129" spans="2:12" x14ac:dyDescent="0.25">
      <c r="B129" s="5"/>
      <c r="D129" s="5"/>
      <c r="E129" s="5"/>
      <c r="F129" s="5"/>
      <c r="G129" s="5"/>
      <c r="H129" s="5"/>
      <c r="I129" s="5"/>
      <c r="J129" s="5"/>
      <c r="K129" s="5"/>
      <c r="L129" s="5"/>
    </row>
    <row r="130" spans="2:12" x14ac:dyDescent="0.25">
      <c r="B130" s="5"/>
      <c r="D130" s="5"/>
      <c r="E130" s="5"/>
      <c r="F130" s="5"/>
      <c r="G130" s="5"/>
      <c r="H130" s="5"/>
      <c r="I130" s="5"/>
      <c r="J130" s="5"/>
      <c r="K130" s="5"/>
      <c r="L130" s="5"/>
    </row>
    <row r="131" spans="2:12" x14ac:dyDescent="0.25">
      <c r="B131" s="5"/>
      <c r="D131" s="5"/>
      <c r="E131" s="5"/>
      <c r="F131" s="5"/>
      <c r="G131" s="5"/>
      <c r="H131" s="5"/>
      <c r="I131" s="5"/>
      <c r="J131" s="5"/>
      <c r="K131" s="5"/>
      <c r="L131" s="5"/>
    </row>
    <row r="132" spans="2:12" x14ac:dyDescent="0.25">
      <c r="B132" s="5"/>
      <c r="D132" s="5"/>
      <c r="E132" s="5"/>
      <c r="F132" s="5"/>
      <c r="G132" s="5"/>
      <c r="H132" s="5"/>
      <c r="I132" s="5"/>
      <c r="J132" s="5"/>
      <c r="K132" s="5"/>
      <c r="L132" s="5"/>
    </row>
    <row r="133" spans="2:12" x14ac:dyDescent="0.25">
      <c r="B133" s="5"/>
      <c r="D133" s="5"/>
      <c r="E133" s="5"/>
      <c r="F133" s="5"/>
      <c r="G133" s="5"/>
      <c r="H133" s="5"/>
      <c r="I133" s="5"/>
      <c r="J133" s="5"/>
      <c r="K133" s="5"/>
      <c r="L133" s="5"/>
    </row>
    <row r="134" spans="2:12" x14ac:dyDescent="0.25">
      <c r="B134" s="5"/>
      <c r="D134" s="5"/>
      <c r="E134" s="5"/>
      <c r="F134" s="5"/>
      <c r="G134" s="5"/>
      <c r="H134" s="5"/>
      <c r="I134" s="5"/>
      <c r="J134" s="5"/>
      <c r="K134" s="5"/>
      <c r="L134" s="5"/>
    </row>
    <row r="135" spans="2:12" x14ac:dyDescent="0.25">
      <c r="B135" s="5"/>
      <c r="D135" s="5"/>
      <c r="E135" s="5"/>
      <c r="F135" s="5"/>
      <c r="G135" s="5"/>
      <c r="H135" s="5"/>
      <c r="I135" s="5"/>
      <c r="J135" s="5"/>
      <c r="K135" s="5"/>
      <c r="L135" s="5"/>
    </row>
    <row r="136" spans="2:12" x14ac:dyDescent="0.25">
      <c r="B136" s="5"/>
      <c r="D136" s="5"/>
      <c r="E136" s="5"/>
      <c r="F136" s="5"/>
      <c r="G136" s="5"/>
      <c r="H136" s="5"/>
      <c r="I136" s="5"/>
      <c r="J136" s="5"/>
      <c r="K136" s="5"/>
      <c r="L136" s="5"/>
    </row>
    <row r="137" spans="2:12" x14ac:dyDescent="0.25">
      <c r="B137" s="5"/>
      <c r="D137" s="5"/>
      <c r="E137" s="5"/>
      <c r="F137" s="5"/>
      <c r="G137" s="5"/>
      <c r="H137" s="5"/>
      <c r="I137" s="5"/>
      <c r="J137" s="5"/>
      <c r="K137" s="5"/>
      <c r="L137" s="5"/>
    </row>
    <row r="138" spans="2:12" x14ac:dyDescent="0.25">
      <c r="B138" s="5"/>
      <c r="D138" s="5"/>
      <c r="E138" s="5"/>
      <c r="F138" s="5"/>
      <c r="G138" s="5"/>
      <c r="H138" s="5"/>
      <c r="I138" s="5"/>
      <c r="J138" s="5"/>
      <c r="K138" s="5"/>
      <c r="L138" s="5"/>
    </row>
    <row r="139" spans="2:12" x14ac:dyDescent="0.25">
      <c r="B139" s="5"/>
      <c r="D139" s="5"/>
      <c r="E139" s="5"/>
      <c r="F139" s="5"/>
      <c r="G139" s="5"/>
      <c r="H139" s="5"/>
      <c r="I139" s="5"/>
      <c r="J139" s="5"/>
      <c r="K139" s="5"/>
      <c r="L139" s="5"/>
    </row>
    <row r="140" spans="2:12" x14ac:dyDescent="0.25">
      <c r="B140" s="5"/>
      <c r="D140" s="5"/>
      <c r="E140" s="5"/>
      <c r="F140" s="5"/>
      <c r="G140" s="5"/>
      <c r="H140" s="5"/>
      <c r="I140" s="5"/>
      <c r="J140" s="5"/>
      <c r="K140" s="5"/>
      <c r="L140" s="5"/>
    </row>
    <row r="141" spans="2:12" x14ac:dyDescent="0.25">
      <c r="B141" s="5"/>
      <c r="D141" s="5"/>
      <c r="E141" s="5"/>
      <c r="F141" s="5"/>
      <c r="G141" s="5"/>
      <c r="H141" s="5"/>
      <c r="I141" s="5"/>
      <c r="J141" s="5"/>
      <c r="K141" s="5"/>
      <c r="L141" s="5"/>
    </row>
    <row r="142" spans="2:12" x14ac:dyDescent="0.25">
      <c r="B142" s="5"/>
      <c r="D142" s="5"/>
      <c r="E142" s="5"/>
      <c r="F142" s="5"/>
      <c r="G142" s="5"/>
      <c r="H142" s="5"/>
      <c r="I142" s="5"/>
      <c r="J142" s="5"/>
      <c r="K142" s="5"/>
      <c r="L142" s="5"/>
    </row>
    <row r="143" spans="2:12" x14ac:dyDescent="0.25">
      <c r="B143" s="5"/>
      <c r="D143" s="5"/>
      <c r="E143" s="5"/>
      <c r="F143" s="5"/>
      <c r="G143" s="5"/>
      <c r="H143" s="5"/>
      <c r="I143" s="5"/>
      <c r="J143" s="5"/>
      <c r="K143" s="5"/>
      <c r="L143" s="5"/>
    </row>
    <row r="144" spans="2:12" x14ac:dyDescent="0.25">
      <c r="B144" s="5"/>
      <c r="D144" s="5"/>
      <c r="E144" s="5"/>
      <c r="F144" s="5"/>
      <c r="G144" s="5"/>
      <c r="H144" s="5"/>
      <c r="I144" s="5"/>
      <c r="J144" s="5"/>
      <c r="K144" s="5"/>
      <c r="L144" s="5"/>
    </row>
    <row r="145" spans="2:12" x14ac:dyDescent="0.25">
      <c r="B145" s="5"/>
      <c r="D145" s="5"/>
      <c r="E145" s="5"/>
      <c r="F145" s="5"/>
      <c r="G145" s="5"/>
      <c r="H145" s="5"/>
      <c r="I145" s="5"/>
      <c r="J145" s="5"/>
      <c r="K145" s="5"/>
      <c r="L145" s="5"/>
    </row>
    <row r="146" spans="2:12" x14ac:dyDescent="0.25">
      <c r="B146" s="5"/>
      <c r="D146" s="5"/>
      <c r="E146" s="5"/>
      <c r="F146" s="5"/>
      <c r="G146" s="5"/>
      <c r="H146" s="5"/>
      <c r="I146" s="5"/>
      <c r="J146" s="5"/>
      <c r="K146" s="5"/>
      <c r="L146" s="5"/>
    </row>
    <row r="147" spans="2:12" x14ac:dyDescent="0.25">
      <c r="B147" s="5"/>
      <c r="D147" s="5"/>
      <c r="E147" s="5"/>
      <c r="F147" s="5"/>
      <c r="G147" s="5"/>
      <c r="H147" s="5"/>
      <c r="I147" s="5"/>
      <c r="J147" s="5"/>
      <c r="K147" s="5"/>
      <c r="L147" s="5"/>
    </row>
    <row r="148" spans="2:12" x14ac:dyDescent="0.25">
      <c r="B148" s="5"/>
      <c r="D148" s="5"/>
      <c r="E148" s="5"/>
      <c r="F148" s="5"/>
      <c r="G148" s="5"/>
      <c r="H148" s="5"/>
      <c r="I148" s="5"/>
      <c r="J148" s="5"/>
      <c r="K148" s="5"/>
      <c r="L148" s="5"/>
    </row>
    <row r="149" spans="2:12" x14ac:dyDescent="0.25">
      <c r="B149" s="5"/>
      <c r="D149" s="5"/>
      <c r="E149" s="5"/>
      <c r="F149" s="5"/>
      <c r="G149" s="5"/>
      <c r="H149" s="5"/>
      <c r="I149" s="5"/>
      <c r="J149" s="5"/>
      <c r="K149" s="5"/>
      <c r="L149" s="5"/>
    </row>
    <row r="150" spans="2:12" x14ac:dyDescent="0.25">
      <c r="B150" s="5"/>
      <c r="D150" s="5"/>
      <c r="E150" s="5"/>
      <c r="F150" s="5"/>
      <c r="G150" s="5"/>
      <c r="H150" s="5"/>
      <c r="I150" s="5"/>
      <c r="J150" s="5"/>
      <c r="K150" s="5"/>
      <c r="L150" s="5"/>
    </row>
    <row r="151" spans="2:12" x14ac:dyDescent="0.25">
      <c r="B151" s="5"/>
      <c r="D151" s="5"/>
      <c r="E151" s="5"/>
      <c r="F151" s="5"/>
      <c r="G151" s="5"/>
      <c r="H151" s="5"/>
      <c r="I151" s="5"/>
      <c r="J151" s="5"/>
      <c r="K151" s="5"/>
      <c r="L151" s="5"/>
    </row>
    <row r="152" spans="2:12" x14ac:dyDescent="0.25">
      <c r="B152" s="5"/>
      <c r="D152" s="5"/>
      <c r="E152" s="5"/>
      <c r="F152" s="5"/>
      <c r="G152" s="5"/>
      <c r="H152" s="5"/>
      <c r="I152" s="5"/>
      <c r="J152" s="5"/>
      <c r="K152" s="5"/>
      <c r="L152" s="5"/>
    </row>
    <row r="153" spans="2:12" x14ac:dyDescent="0.25">
      <c r="B153" s="5"/>
      <c r="D153" s="5"/>
      <c r="E153" s="5"/>
      <c r="F153" s="5"/>
      <c r="G153" s="5"/>
      <c r="H153" s="5"/>
      <c r="I153" s="5"/>
      <c r="J153" s="5"/>
      <c r="K153" s="5"/>
      <c r="L153" s="5"/>
    </row>
    <row r="154" spans="2:12" x14ac:dyDescent="0.25">
      <c r="B154" s="5"/>
      <c r="D154" s="5"/>
      <c r="E154" s="5"/>
      <c r="F154" s="5"/>
      <c r="G154" s="5"/>
      <c r="H154" s="5"/>
      <c r="I154" s="5"/>
      <c r="J154" s="5"/>
      <c r="K154" s="5"/>
      <c r="L154" s="5"/>
    </row>
    <row r="155" spans="2:12" x14ac:dyDescent="0.25">
      <c r="B155" s="5"/>
      <c r="D155" s="5"/>
      <c r="E155" s="5"/>
      <c r="F155" s="5"/>
      <c r="G155" s="5"/>
      <c r="H155" s="5"/>
      <c r="I155" s="5"/>
      <c r="J155" s="5"/>
      <c r="K155" s="5"/>
      <c r="L155" s="5"/>
    </row>
    <row r="156" spans="2:12" x14ac:dyDescent="0.25">
      <c r="B156" s="5"/>
      <c r="D156" s="5"/>
      <c r="E156" s="5"/>
      <c r="F156" s="5"/>
      <c r="G156" s="5"/>
      <c r="H156" s="5"/>
      <c r="I156" s="5"/>
      <c r="J156" s="5"/>
      <c r="K156" s="5"/>
      <c r="L156" s="5"/>
    </row>
    <row r="157" spans="2:12" x14ac:dyDescent="0.25">
      <c r="B157" s="5"/>
      <c r="D157" s="5"/>
      <c r="E157" s="5"/>
      <c r="F157" s="5"/>
      <c r="G157" s="5"/>
      <c r="H157" s="5"/>
      <c r="I157" s="5"/>
      <c r="J157" s="5"/>
      <c r="K157" s="5"/>
      <c r="L157" s="5"/>
    </row>
    <row r="158" spans="2:12" x14ac:dyDescent="0.25">
      <c r="B158" s="5"/>
      <c r="D158" s="5"/>
      <c r="E158" s="5"/>
      <c r="F158" s="5"/>
      <c r="G158" s="5"/>
      <c r="H158" s="5"/>
      <c r="I158" s="5"/>
      <c r="J158" s="5"/>
      <c r="K158" s="5"/>
      <c r="L158" s="5"/>
    </row>
    <row r="159" spans="2:12" x14ac:dyDescent="0.25">
      <c r="B159" s="5"/>
      <c r="D159" s="5"/>
      <c r="E159" s="5"/>
      <c r="F159" s="5"/>
      <c r="G159" s="5"/>
      <c r="H159" s="5"/>
      <c r="I159" s="5"/>
      <c r="J159" s="5"/>
      <c r="K159" s="5"/>
      <c r="L159" s="5"/>
    </row>
    <row r="160" spans="2:12" x14ac:dyDescent="0.25">
      <c r="B160" s="5"/>
      <c r="D160" s="5"/>
      <c r="E160" s="5"/>
      <c r="F160" s="5"/>
      <c r="G160" s="5"/>
      <c r="H160" s="5"/>
      <c r="I160" s="5"/>
      <c r="J160" s="5"/>
      <c r="K160" s="5"/>
      <c r="L160" s="5"/>
    </row>
    <row r="161" spans="2:12" x14ac:dyDescent="0.25">
      <c r="B161" s="5"/>
      <c r="D161" s="5"/>
      <c r="E161" s="5"/>
      <c r="F161" s="5"/>
      <c r="G161" s="5"/>
      <c r="H161" s="5"/>
      <c r="I161" s="5"/>
      <c r="J161" s="5"/>
      <c r="K161" s="5"/>
      <c r="L161" s="5"/>
    </row>
    <row r="162" spans="2:12" x14ac:dyDescent="0.25">
      <c r="B162" s="5"/>
      <c r="D162" s="5"/>
      <c r="E162" s="5"/>
      <c r="F162" s="5"/>
      <c r="G162" s="5"/>
      <c r="H162" s="5"/>
      <c r="I162" s="5"/>
      <c r="J162" s="5"/>
      <c r="K162" s="5"/>
      <c r="L162" s="5"/>
    </row>
    <row r="163" spans="2:12" x14ac:dyDescent="0.25">
      <c r="B163" s="5"/>
      <c r="D163" s="5"/>
      <c r="E163" s="5"/>
      <c r="F163" s="5"/>
      <c r="G163" s="5"/>
      <c r="H163" s="5"/>
      <c r="I163" s="5"/>
      <c r="J163" s="5"/>
      <c r="K163" s="5"/>
      <c r="L163" s="5"/>
    </row>
    <row r="164" spans="2:12" x14ac:dyDescent="0.25">
      <c r="B164" s="5"/>
      <c r="D164" s="5"/>
      <c r="E164" s="5"/>
      <c r="F164" s="5"/>
      <c r="G164" s="5"/>
      <c r="H164" s="5"/>
      <c r="I164" s="5"/>
      <c r="J164" s="5"/>
      <c r="K164" s="5"/>
      <c r="L164" s="5"/>
    </row>
    <row r="165" spans="2:12" x14ac:dyDescent="0.25">
      <c r="B165" s="5"/>
      <c r="D165" s="5"/>
      <c r="E165" s="5"/>
      <c r="F165" s="5"/>
      <c r="G165" s="5"/>
      <c r="H165" s="5"/>
      <c r="I165" s="5"/>
      <c r="J165" s="5"/>
      <c r="K165" s="5"/>
      <c r="L165" s="5"/>
    </row>
    <row r="166" spans="2:12" x14ac:dyDescent="0.25">
      <c r="B166" s="5"/>
      <c r="D166" s="5"/>
      <c r="E166" s="5"/>
      <c r="F166" s="5"/>
      <c r="G166" s="5"/>
      <c r="H166" s="5"/>
      <c r="I166" s="5"/>
      <c r="J166" s="5"/>
      <c r="K166" s="5"/>
      <c r="L166" s="5"/>
    </row>
    <row r="167" spans="2:12" x14ac:dyDescent="0.25">
      <c r="B167" s="5"/>
      <c r="D167" s="5"/>
      <c r="E167" s="5"/>
      <c r="F167" s="5"/>
      <c r="G167" s="5"/>
      <c r="H167" s="5"/>
      <c r="I167" s="5"/>
      <c r="J167" s="5"/>
      <c r="K167" s="5"/>
      <c r="L167" s="5"/>
    </row>
    <row r="168" spans="2:12" x14ac:dyDescent="0.25">
      <c r="B168" s="5"/>
      <c r="D168" s="5"/>
      <c r="E168" s="5"/>
      <c r="F168" s="5"/>
      <c r="G168" s="5"/>
      <c r="H168" s="5"/>
      <c r="I168" s="5"/>
      <c r="J168" s="5"/>
      <c r="K168" s="5"/>
      <c r="L168" s="5"/>
    </row>
    <row r="169" spans="2:12" x14ac:dyDescent="0.25">
      <c r="B169" s="5"/>
      <c r="D169" s="5"/>
      <c r="E169" s="5"/>
      <c r="F169" s="5"/>
      <c r="G169" s="5"/>
      <c r="H169" s="5"/>
      <c r="I169" s="5"/>
      <c r="J169" s="5"/>
      <c r="K169" s="5"/>
      <c r="L169" s="5"/>
    </row>
    <row r="170" spans="2:12" x14ac:dyDescent="0.25">
      <c r="B170" s="5"/>
      <c r="D170" s="5"/>
      <c r="E170" s="5"/>
      <c r="F170" s="5"/>
      <c r="G170" s="5"/>
      <c r="H170" s="5"/>
      <c r="I170" s="5"/>
      <c r="J170" s="5"/>
      <c r="K170" s="5"/>
      <c r="L170" s="5"/>
    </row>
    <row r="171" spans="2:12" x14ac:dyDescent="0.25">
      <c r="B171" s="5"/>
      <c r="D171" s="5"/>
      <c r="E171" s="5"/>
      <c r="F171" s="5"/>
      <c r="G171" s="5"/>
      <c r="H171" s="5"/>
      <c r="I171" s="5"/>
      <c r="J171" s="5"/>
      <c r="K171" s="5"/>
      <c r="L171" s="5"/>
    </row>
    <row r="172" spans="2:12" x14ac:dyDescent="0.25">
      <c r="B172" s="5"/>
      <c r="D172" s="5"/>
      <c r="E172" s="5"/>
      <c r="F172" s="5"/>
      <c r="G172" s="5"/>
      <c r="H172" s="5"/>
      <c r="I172" s="5"/>
      <c r="J172" s="5"/>
      <c r="K172" s="5"/>
      <c r="L172" s="5"/>
    </row>
    <row r="173" spans="2:12" x14ac:dyDescent="0.25">
      <c r="B173" s="5"/>
      <c r="D173" s="5"/>
      <c r="E173" s="5"/>
      <c r="F173" s="5"/>
      <c r="G173" s="5"/>
      <c r="H173" s="5"/>
      <c r="I173" s="5"/>
      <c r="J173" s="5"/>
      <c r="K173" s="5"/>
      <c r="L173" s="5"/>
    </row>
    <row r="174" spans="2:12" x14ac:dyDescent="0.25">
      <c r="B174" s="5"/>
      <c r="D174" s="5"/>
      <c r="E174" s="5"/>
      <c r="F174" s="5"/>
      <c r="G174" s="5"/>
      <c r="H174" s="5"/>
      <c r="I174" s="5"/>
      <c r="J174" s="5"/>
      <c r="K174" s="5"/>
      <c r="L174" s="5"/>
    </row>
    <row r="175" spans="2:12" x14ac:dyDescent="0.25">
      <c r="B175" s="5"/>
      <c r="D175" s="5"/>
      <c r="E175" s="5"/>
      <c r="F175" s="5"/>
      <c r="G175" s="5"/>
      <c r="H175" s="5"/>
      <c r="I175" s="5"/>
      <c r="J175" s="5"/>
      <c r="K175" s="5"/>
      <c r="L175" s="5"/>
    </row>
    <row r="176" spans="2:12" x14ac:dyDescent="0.25">
      <c r="B176" s="5"/>
      <c r="D176" s="5"/>
      <c r="E176" s="5"/>
      <c r="F176" s="5"/>
      <c r="G176" s="5"/>
      <c r="H176" s="5"/>
      <c r="I176" s="5"/>
      <c r="J176" s="5"/>
      <c r="K176" s="5"/>
      <c r="L176" s="5"/>
    </row>
    <row r="177" spans="2:12" x14ac:dyDescent="0.25">
      <c r="B177" s="5"/>
      <c r="D177" s="5"/>
      <c r="E177" s="5"/>
      <c r="F177" s="5"/>
      <c r="G177" s="5"/>
      <c r="H177" s="5"/>
      <c r="I177" s="5"/>
      <c r="J177" s="5"/>
      <c r="K177" s="5"/>
      <c r="L177" s="5"/>
    </row>
    <row r="178" spans="2:12" x14ac:dyDescent="0.25">
      <c r="B178" s="5"/>
      <c r="D178" s="5"/>
      <c r="E178" s="5"/>
      <c r="F178" s="5"/>
      <c r="G178" s="5"/>
      <c r="H178" s="5"/>
      <c r="I178" s="5"/>
      <c r="J178" s="5"/>
      <c r="K178" s="5"/>
      <c r="L178" s="5"/>
    </row>
    <row r="179" spans="2:12" x14ac:dyDescent="0.25">
      <c r="B179" s="5"/>
      <c r="D179" s="5"/>
      <c r="E179" s="5"/>
      <c r="F179" s="5"/>
      <c r="G179" s="5"/>
      <c r="H179" s="5"/>
      <c r="I179" s="5"/>
      <c r="J179" s="5"/>
      <c r="K179" s="5"/>
      <c r="L179" s="5"/>
    </row>
    <row r="180" spans="2:12" x14ac:dyDescent="0.25">
      <c r="B180" s="5"/>
      <c r="D180" s="5"/>
      <c r="E180" s="5"/>
      <c r="F180" s="5"/>
      <c r="G180" s="5"/>
      <c r="H180" s="5"/>
      <c r="I180" s="5"/>
      <c r="J180" s="5"/>
      <c r="K180" s="5"/>
      <c r="L180" s="5"/>
    </row>
    <row r="181" spans="2:12" x14ac:dyDescent="0.25">
      <c r="B181" s="5"/>
      <c r="D181" s="5"/>
      <c r="E181" s="5"/>
      <c r="F181" s="5"/>
      <c r="G181" s="5"/>
      <c r="H181" s="5"/>
      <c r="I181" s="5"/>
      <c r="J181" s="5"/>
      <c r="K181" s="5"/>
      <c r="L181" s="5"/>
    </row>
    <row r="182" spans="2:12" x14ac:dyDescent="0.25">
      <c r="B182" s="5"/>
      <c r="D182" s="5"/>
      <c r="E182" s="5"/>
      <c r="F182" s="5"/>
      <c r="G182" s="5"/>
      <c r="H182" s="5"/>
      <c r="I182" s="5"/>
      <c r="J182" s="5"/>
      <c r="K182" s="5"/>
      <c r="L182" s="5"/>
    </row>
    <row r="183" spans="2:12" x14ac:dyDescent="0.25">
      <c r="B183" s="5"/>
      <c r="D183" s="5"/>
      <c r="E183" s="5"/>
      <c r="F183" s="5"/>
      <c r="G183" s="5"/>
      <c r="H183" s="5"/>
      <c r="I183" s="5"/>
      <c r="J183" s="5"/>
      <c r="K183" s="5"/>
      <c r="L183" s="5"/>
    </row>
    <row r="184" spans="2:12" x14ac:dyDescent="0.25">
      <c r="K184" s="5"/>
      <c r="L184" s="5"/>
    </row>
  </sheetData>
  <mergeCells count="41">
    <mergeCell ref="B10:D10"/>
    <mergeCell ref="F10:S10"/>
    <mergeCell ref="F11:S11"/>
    <mergeCell ref="E12:R12"/>
    <mergeCell ref="E13:R13"/>
    <mergeCell ref="N24:N25"/>
    <mergeCell ref="O24:O25"/>
    <mergeCell ref="P24:P25"/>
    <mergeCell ref="K24:K25"/>
    <mergeCell ref="K39:K40"/>
    <mergeCell ref="L39:L40"/>
    <mergeCell ref="M39:M40"/>
    <mergeCell ref="L24:L25"/>
    <mergeCell ref="M24:M25"/>
    <mergeCell ref="B89:B94"/>
    <mergeCell ref="B74:D74"/>
    <mergeCell ref="B76:B84"/>
    <mergeCell ref="B85:B86"/>
    <mergeCell ref="D85:D86"/>
    <mergeCell ref="B87:B88"/>
    <mergeCell ref="B15:B43"/>
    <mergeCell ref="D15:I15"/>
    <mergeCell ref="D22:I22"/>
    <mergeCell ref="D23:I23"/>
    <mergeCell ref="D31:I31"/>
    <mergeCell ref="D32:I32"/>
    <mergeCell ref="D33:I33"/>
    <mergeCell ref="D43:I43"/>
    <mergeCell ref="B69:F69"/>
    <mergeCell ref="D44:I44"/>
    <mergeCell ref="D45:I45"/>
    <mergeCell ref="B47:E47"/>
    <mergeCell ref="B48:B54"/>
    <mergeCell ref="B56:E56"/>
    <mergeCell ref="B57:B63"/>
    <mergeCell ref="B66:D67"/>
    <mergeCell ref="A1:P1"/>
    <mergeCell ref="A2:P2"/>
    <mergeCell ref="A3:P3"/>
    <mergeCell ref="A4:D4"/>
    <mergeCell ref="A5:P5"/>
  </mergeCells>
  <conditionalFormatting sqref="I20">
    <cfRule type="containsErrors" dxfId="88" priority="7">
      <formula>ISERROR(I20)</formula>
    </cfRule>
  </conditionalFormatting>
  <conditionalFormatting sqref="I25">
    <cfRule type="containsText" dxfId="87" priority="6" operator="containsText" text="debe">
      <formula>NOT(ISERROR(SEARCH("debe",I25)))</formula>
    </cfRule>
  </conditionalFormatting>
  <conditionalFormatting sqref="F10">
    <cfRule type="notContainsBlanks" dxfId="86" priority="5">
      <formula>LEN(TRIM(F10))&gt;0</formula>
    </cfRule>
  </conditionalFormatting>
  <conditionalFormatting sqref="F11:S11">
    <cfRule type="expression" dxfId="85" priority="3">
      <formula>E11="NO SE REPORTA"</formula>
    </cfRule>
    <cfRule type="expression" dxfId="84" priority="4">
      <formula>E10="NO APLICA"</formula>
    </cfRule>
  </conditionalFormatting>
  <conditionalFormatting sqref="E12:R12">
    <cfRule type="expression" dxfId="83" priority="1">
      <formula>E11="SI SE REPORTA"</formula>
    </cfRule>
  </conditionalFormatting>
  <dataValidations count="6">
    <dataValidation type="whole" operator="greaterThanOrEqual" allowBlank="1" showInputMessage="1" showErrorMessage="1" errorTitle="ERROR" error="Valor en HECTAREAS (sin decimales)" sqref="E17:E19 E21 E25:H29 F35:F42 I26:I30 L41:L45">
      <formula1>0</formula1>
    </dataValidation>
    <dataValidation allowBlank="1" showInputMessage="1" showErrorMessage="1" promptTitle="ESTADO" prompt="en formulación_x000a_en actualización_x000a_en adopción_x000a_adoptado" sqref="G35:G42"/>
    <dataValidation type="whole" errorStyle="warning" operator="equal" allowBlank="1" showInputMessage="1" showErrorMessage="1" error="LA SUMA DEBE SER IGUAL A LA META CUATRIENAL" promptTitle="OJO" prompt="LA SUMA DEBE SER IGUAL A LA META CUATRIENAL" sqref="I25">
      <formula1>E20</formula1>
    </dataValidation>
    <dataValidation type="decimal" allowBlank="1" showInputMessage="1" showErrorMessage="1" errorTitle="ERROR" error="Escriba un valor entre 0% y 100%" sqref="L26:L29">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52" r:id="rId1"/>
  </hyperlinks>
  <pageMargins left="0.25" right="0.25" top="0.75" bottom="0.75" header="0.3" footer="0.3"/>
  <pageSetup paperSize="178"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82"/>
  <sheetViews>
    <sheetView tabSelected="1" topLeftCell="A4" zoomScaleNormal="100" zoomScaleSheetLayoutView="75" workbookViewId="0">
      <pane xSplit="1" ySplit="4" topLeftCell="B8" activePane="bottomRight" state="frozen"/>
      <selection activeCell="A4" sqref="A4"/>
      <selection pane="topRight" activeCell="B4" sqref="B4"/>
      <selection pane="bottomLeft" activeCell="A8" sqref="A8"/>
      <selection pane="bottomRight" activeCell="Q11" sqref="Q11"/>
    </sheetView>
  </sheetViews>
  <sheetFormatPr baseColWidth="10" defaultColWidth="11.28515625" defaultRowHeight="12.75" x14ac:dyDescent="0.25"/>
  <cols>
    <col min="1" max="1" width="37.28515625" style="398" customWidth="1"/>
    <col min="2" max="2" width="10.7109375" style="485" customWidth="1"/>
    <col min="3" max="5" width="5" style="485" customWidth="1"/>
    <col min="6" max="8" width="5.42578125" style="485" customWidth="1"/>
    <col min="9" max="9" width="6.140625" style="485" customWidth="1"/>
    <col min="10" max="10" width="6.85546875" style="485" customWidth="1"/>
    <col min="11" max="11" width="6" style="498" customWidth="1"/>
    <col min="12" max="12" width="5.7109375" style="498" customWidth="1"/>
    <col min="13" max="13" width="6.7109375" style="498" customWidth="1"/>
    <col min="14" max="14" width="15.28515625" style="398" customWidth="1"/>
    <col min="15" max="22" width="10.5703125" style="398" customWidth="1"/>
    <col min="23" max="23" width="12.85546875" style="398" customWidth="1"/>
    <col min="24" max="25" width="11.28515625" style="485" customWidth="1"/>
    <col min="26" max="26" width="10.7109375" style="498" customWidth="1"/>
    <col min="27" max="29" width="13.42578125" style="398" customWidth="1"/>
    <col min="30" max="31" width="11.7109375" style="398" customWidth="1"/>
    <col min="32" max="32" width="11.7109375" style="498" customWidth="1"/>
    <col min="33" max="33" width="13.85546875" style="398" customWidth="1"/>
    <col min="34" max="34" width="13.85546875" style="498" customWidth="1"/>
    <col min="35" max="40" width="13.85546875" style="398" customWidth="1"/>
    <col min="41" max="42" width="11.7109375" style="398" customWidth="1"/>
    <col min="43" max="43" width="11.7109375" style="498" customWidth="1"/>
    <col min="44" max="47" width="11.7109375" style="398" customWidth="1"/>
    <col min="48" max="48" width="11.28515625" style="398"/>
    <col min="49" max="49" width="11.28515625" style="398" bestFit="1" customWidth="1"/>
    <col min="50" max="16384" width="11.28515625" style="398"/>
  </cols>
  <sheetData>
    <row r="1" spans="1:49" ht="91.15" customHeight="1" thickBot="1" x14ac:dyDescent="0.3">
      <c r="A1" s="944"/>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5"/>
      <c r="AR1" s="945"/>
      <c r="AS1" s="945"/>
      <c r="AT1" s="945"/>
      <c r="AU1" s="946"/>
    </row>
    <row r="2" spans="1:49" s="399" customFormat="1" ht="17.45" customHeight="1" x14ac:dyDescent="0.25">
      <c r="A2" s="938" t="str">
        <f>+'Datos Generales'!C5</f>
        <v>Corporación Autónoma Regional del Magdalena – CORPAMAG</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40"/>
    </row>
    <row r="3" spans="1:49" s="399" customFormat="1" ht="33.75" customHeight="1" thickBot="1" x14ac:dyDescent="0.3">
      <c r="A3" s="941" t="s">
        <v>1318</v>
      </c>
      <c r="B3" s="942"/>
      <c r="C3" s="942"/>
      <c r="D3" s="942"/>
      <c r="E3" s="942"/>
      <c r="F3" s="942"/>
      <c r="G3" s="942"/>
      <c r="H3" s="942"/>
      <c r="I3" s="942"/>
      <c r="J3" s="942"/>
      <c r="K3" s="942"/>
      <c r="L3" s="942"/>
      <c r="M3" s="942"/>
      <c r="N3" s="942"/>
      <c r="O3" s="942"/>
      <c r="P3" s="942"/>
      <c r="Q3" s="942"/>
      <c r="R3" s="942"/>
      <c r="S3" s="942"/>
      <c r="T3" s="942"/>
      <c r="U3" s="942"/>
      <c r="V3" s="942"/>
      <c r="W3" s="942"/>
      <c r="X3" s="942"/>
      <c r="Y3" s="942"/>
      <c r="Z3" s="942"/>
      <c r="AA3" s="942"/>
      <c r="AB3" s="942"/>
      <c r="AC3" s="942"/>
      <c r="AD3" s="942"/>
      <c r="AE3" s="942"/>
      <c r="AF3" s="942"/>
      <c r="AG3" s="942"/>
      <c r="AH3" s="942"/>
      <c r="AI3" s="942"/>
      <c r="AJ3" s="942"/>
      <c r="AK3" s="942"/>
      <c r="AL3" s="942"/>
      <c r="AM3" s="942"/>
      <c r="AN3" s="942"/>
      <c r="AO3" s="942"/>
      <c r="AP3" s="942"/>
      <c r="AQ3" s="942"/>
      <c r="AR3" s="942"/>
      <c r="AS3" s="942"/>
      <c r="AT3" s="942"/>
      <c r="AU3" s="943"/>
    </row>
    <row r="4" spans="1:49" s="399" customFormat="1" ht="16.5" thickBot="1" x14ac:dyDescent="0.3">
      <c r="A4" s="431" t="s">
        <v>1319</v>
      </c>
      <c r="B4" s="514" t="str">
        <f>'Datos Generales'!C6</f>
        <v>2022-II</v>
      </c>
      <c r="C4" s="514"/>
      <c r="D4" s="514"/>
      <c r="E4" s="514"/>
      <c r="F4" s="514"/>
      <c r="G4" s="514"/>
      <c r="H4" s="514"/>
      <c r="I4" s="514"/>
      <c r="J4" s="514"/>
      <c r="K4" s="495"/>
      <c r="L4" s="495"/>
      <c r="M4" s="495"/>
      <c r="N4" s="432"/>
      <c r="O4" s="432"/>
      <c r="P4" s="432"/>
      <c r="Q4" s="432"/>
      <c r="R4" s="432"/>
      <c r="S4" s="432"/>
      <c r="T4" s="432"/>
      <c r="U4" s="432"/>
      <c r="V4" s="432"/>
      <c r="W4" s="432"/>
      <c r="X4" s="514"/>
      <c r="Y4" s="514"/>
      <c r="Z4" s="495"/>
      <c r="AA4" s="432"/>
      <c r="AB4" s="432"/>
      <c r="AC4" s="432"/>
      <c r="AD4" s="432"/>
      <c r="AE4" s="432"/>
      <c r="AF4" s="495"/>
      <c r="AG4" s="432"/>
      <c r="AH4" s="495"/>
      <c r="AI4" s="432"/>
      <c r="AJ4" s="432"/>
      <c r="AK4" s="432"/>
      <c r="AL4" s="432"/>
      <c r="AM4" s="432"/>
      <c r="AN4" s="432"/>
      <c r="AO4" s="432"/>
      <c r="AP4" s="432"/>
      <c r="AQ4" s="495"/>
      <c r="AR4" s="432"/>
      <c r="AS4" s="432"/>
      <c r="AT4" s="432"/>
      <c r="AU4" s="433"/>
    </row>
    <row r="5" spans="1:49" ht="36.75" customHeight="1" thickBot="1" x14ac:dyDescent="0.3">
      <c r="A5" s="947" t="s">
        <v>2008</v>
      </c>
      <c r="B5" s="923" t="s">
        <v>1257</v>
      </c>
      <c r="C5" s="924"/>
      <c r="D5" s="924"/>
      <c r="E5" s="924"/>
      <c r="F5" s="924"/>
      <c r="G5" s="924"/>
      <c r="H5" s="924"/>
      <c r="I5" s="924"/>
      <c r="J5" s="924"/>
      <c r="K5" s="924"/>
      <c r="L5" s="924"/>
      <c r="M5" s="924"/>
      <c r="N5" s="924"/>
      <c r="O5" s="924"/>
      <c r="P5" s="924"/>
      <c r="Q5" s="924"/>
      <c r="R5" s="924"/>
      <c r="S5" s="924"/>
      <c r="T5" s="924"/>
      <c r="U5" s="924"/>
      <c r="V5" s="924"/>
      <c r="W5" s="924"/>
      <c r="X5" s="924"/>
      <c r="Y5" s="925"/>
      <c r="Z5" s="925"/>
      <c r="AA5" s="925"/>
      <c r="AB5" s="925"/>
      <c r="AC5" s="925"/>
      <c r="AD5" s="926" t="s">
        <v>1258</v>
      </c>
      <c r="AE5" s="927"/>
      <c r="AF5" s="927"/>
      <c r="AG5" s="927"/>
      <c r="AH5" s="927"/>
      <c r="AI5" s="927"/>
      <c r="AJ5" s="927"/>
      <c r="AK5" s="927"/>
      <c r="AL5" s="927"/>
      <c r="AM5" s="927"/>
      <c r="AN5" s="927"/>
      <c r="AO5" s="927"/>
      <c r="AP5" s="927"/>
      <c r="AQ5" s="927"/>
      <c r="AR5" s="960" t="s">
        <v>2018</v>
      </c>
      <c r="AS5" s="956" t="s">
        <v>2019</v>
      </c>
      <c r="AT5" s="956" t="s">
        <v>2020</v>
      </c>
      <c r="AU5" s="958" t="s">
        <v>2021</v>
      </c>
      <c r="AV5" s="962" t="s">
        <v>2022</v>
      </c>
      <c r="AW5" s="962" t="s">
        <v>2023</v>
      </c>
    </row>
    <row r="6" spans="1:49" ht="127.7" customHeight="1" thickBot="1" x14ac:dyDescent="0.3">
      <c r="A6" s="948"/>
      <c r="B6" s="911" t="s">
        <v>1259</v>
      </c>
      <c r="C6" s="917" t="s">
        <v>1857</v>
      </c>
      <c r="D6" s="935"/>
      <c r="E6" s="918"/>
      <c r="F6" s="917" t="s">
        <v>1858</v>
      </c>
      <c r="G6" s="935"/>
      <c r="H6" s="918"/>
      <c r="I6" s="917" t="s">
        <v>2573</v>
      </c>
      <c r="J6" s="918"/>
      <c r="K6" s="949" t="s">
        <v>1856</v>
      </c>
      <c r="L6" s="950"/>
      <c r="M6" s="951"/>
      <c r="N6" s="911" t="s">
        <v>2574</v>
      </c>
      <c r="O6" s="911" t="s">
        <v>2575</v>
      </c>
      <c r="P6" s="911" t="s">
        <v>1949</v>
      </c>
      <c r="Q6" s="911" t="s">
        <v>1954</v>
      </c>
      <c r="R6" s="911" t="s">
        <v>1960</v>
      </c>
      <c r="S6" s="911" t="s">
        <v>1967</v>
      </c>
      <c r="T6" s="911" t="s">
        <v>1969</v>
      </c>
      <c r="U6" s="911" t="s">
        <v>1971</v>
      </c>
      <c r="V6" s="911" t="s">
        <v>1973</v>
      </c>
      <c r="W6" s="911" t="s">
        <v>2576</v>
      </c>
      <c r="X6" s="952" t="s">
        <v>2009</v>
      </c>
      <c r="Y6" s="952" t="s">
        <v>2010</v>
      </c>
      <c r="Z6" s="954" t="s">
        <v>2011</v>
      </c>
      <c r="AA6" s="952" t="s">
        <v>2027</v>
      </c>
      <c r="AB6" s="952" t="s">
        <v>1982</v>
      </c>
      <c r="AC6" s="952" t="s">
        <v>2040</v>
      </c>
      <c r="AD6" s="913" t="s">
        <v>2012</v>
      </c>
      <c r="AE6" s="913" t="s">
        <v>2013</v>
      </c>
      <c r="AF6" s="915" t="s">
        <v>2014</v>
      </c>
      <c r="AG6" s="913" t="s">
        <v>2578</v>
      </c>
      <c r="AH6" s="915" t="s">
        <v>2579</v>
      </c>
      <c r="AI6" s="913" t="s">
        <v>2580</v>
      </c>
      <c r="AJ6" s="913" t="s">
        <v>2581</v>
      </c>
      <c r="AK6" s="913" t="s">
        <v>2582</v>
      </c>
      <c r="AL6" s="913" t="s">
        <v>2583</v>
      </c>
      <c r="AM6" s="913" t="s">
        <v>2584</v>
      </c>
      <c r="AN6" s="913" t="s">
        <v>2585</v>
      </c>
      <c r="AO6" s="936" t="s">
        <v>2015</v>
      </c>
      <c r="AP6" s="936" t="s">
        <v>2016</v>
      </c>
      <c r="AQ6" s="936" t="s">
        <v>2017</v>
      </c>
      <c r="AR6" s="961"/>
      <c r="AS6" s="957"/>
      <c r="AT6" s="957"/>
      <c r="AU6" s="959"/>
      <c r="AV6" s="963"/>
      <c r="AW6" s="963"/>
    </row>
    <row r="7" spans="1:49" ht="15.75" customHeight="1" thickBot="1" x14ac:dyDescent="0.3">
      <c r="A7" s="948"/>
      <c r="B7" s="912"/>
      <c r="C7" s="523">
        <v>2020</v>
      </c>
      <c r="D7" s="523">
        <v>2021</v>
      </c>
      <c r="E7" s="523">
        <v>2022</v>
      </c>
      <c r="F7" s="523">
        <v>2020</v>
      </c>
      <c r="G7" s="523">
        <v>2021</v>
      </c>
      <c r="H7" s="523">
        <v>2022</v>
      </c>
      <c r="I7" s="523">
        <v>2020</v>
      </c>
      <c r="J7" s="523">
        <v>2021</v>
      </c>
      <c r="K7" s="523">
        <v>2020</v>
      </c>
      <c r="L7" s="523">
        <v>2021</v>
      </c>
      <c r="M7" s="523">
        <v>2022</v>
      </c>
      <c r="N7" s="912"/>
      <c r="O7" s="912"/>
      <c r="P7" s="912"/>
      <c r="Q7" s="912"/>
      <c r="R7" s="912"/>
      <c r="S7" s="912"/>
      <c r="T7" s="912"/>
      <c r="U7" s="912"/>
      <c r="V7" s="912"/>
      <c r="W7" s="912"/>
      <c r="X7" s="953"/>
      <c r="Y7" s="953"/>
      <c r="Z7" s="955"/>
      <c r="AA7" s="953"/>
      <c r="AB7" s="953"/>
      <c r="AC7" s="953"/>
      <c r="AD7" s="914"/>
      <c r="AE7" s="914"/>
      <c r="AF7" s="916"/>
      <c r="AG7" s="914"/>
      <c r="AH7" s="916"/>
      <c r="AI7" s="914"/>
      <c r="AJ7" s="914"/>
      <c r="AK7" s="914"/>
      <c r="AL7" s="914"/>
      <c r="AM7" s="914"/>
      <c r="AN7" s="914"/>
      <c r="AO7" s="937"/>
      <c r="AP7" s="937"/>
      <c r="AQ7" s="937"/>
      <c r="AR7" s="961"/>
      <c r="AS7" s="957"/>
      <c r="AT7" s="957"/>
      <c r="AU7" s="959"/>
      <c r="AV7" s="963"/>
      <c r="AW7" s="963"/>
    </row>
    <row r="8" spans="1:49" ht="67.5" x14ac:dyDescent="0.25">
      <c r="A8" s="561" t="s">
        <v>2024</v>
      </c>
      <c r="B8" s="562"/>
      <c r="C8" s="563"/>
      <c r="D8" s="563"/>
      <c r="E8" s="563"/>
      <c r="F8" s="563"/>
      <c r="G8" s="563"/>
      <c r="H8" s="563"/>
      <c r="I8" s="563"/>
      <c r="J8" s="563"/>
      <c r="K8" s="563">
        <f>+(K9*AA9)</f>
        <v>1</v>
      </c>
      <c r="L8" s="563">
        <f>+(L9*AA9)</f>
        <v>1</v>
      </c>
      <c r="M8" s="563">
        <f>+(M9*AC9)</f>
        <v>1</v>
      </c>
      <c r="N8" s="882"/>
      <c r="O8" s="882"/>
      <c r="P8" s="882"/>
      <c r="Q8" s="882"/>
      <c r="R8" s="882"/>
      <c r="S8" s="882"/>
      <c r="T8" s="882"/>
      <c r="U8" s="882"/>
      <c r="V8" s="882"/>
      <c r="W8" s="882"/>
      <c r="X8" s="563"/>
      <c r="Y8" s="563"/>
      <c r="Z8" s="573">
        <f>+(Z9*AA9)</f>
        <v>0.94469758064516141</v>
      </c>
      <c r="AA8" s="572">
        <v>0.33</v>
      </c>
      <c r="AB8" s="572">
        <v>0.33</v>
      </c>
      <c r="AC8" s="572">
        <v>0.33</v>
      </c>
      <c r="AD8" s="564">
        <f>+AD9</f>
        <v>6571099166</v>
      </c>
      <c r="AE8" s="564">
        <f>+AE9</f>
        <v>6552989945</v>
      </c>
      <c r="AF8" s="580">
        <f>AE8/AD8</f>
        <v>0.9972441108340443</v>
      </c>
      <c r="AG8" s="564">
        <f>+AG9</f>
        <v>2345025756</v>
      </c>
      <c r="AH8" s="580">
        <f>+AG8/AD8</f>
        <v>0.35686963425138485</v>
      </c>
      <c r="AI8" s="564">
        <f>+AI9</f>
        <v>4207964189</v>
      </c>
      <c r="AJ8" s="564">
        <f>+AJ9</f>
        <v>270207500</v>
      </c>
      <c r="AK8" s="564">
        <f>+AK9</f>
        <v>270207500</v>
      </c>
      <c r="AL8" s="564">
        <f t="shared" ref="AL8:AM8" si="0">+AL9</f>
        <v>2061388786</v>
      </c>
      <c r="AM8" s="564">
        <f t="shared" si="0"/>
        <v>1983114980</v>
      </c>
      <c r="AN8" s="564">
        <f>+AM8/AL8</f>
        <v>0.96202860589346395</v>
      </c>
      <c r="AO8" s="564">
        <f t="shared" ref="AO8:AP8" si="1">+AO9</f>
        <v>15691338388</v>
      </c>
      <c r="AP8" s="564">
        <f t="shared" si="1"/>
        <v>10610691943</v>
      </c>
      <c r="AQ8" s="580">
        <f>AP8/AO8</f>
        <v>0.67621331467267065</v>
      </c>
      <c r="AR8" s="566"/>
      <c r="AS8" s="567"/>
      <c r="AT8" s="566"/>
      <c r="AU8" s="568"/>
      <c r="AV8" s="568"/>
      <c r="AW8" s="568"/>
    </row>
    <row r="9" spans="1:49" ht="38.25" x14ac:dyDescent="0.25">
      <c r="A9" s="557" t="s">
        <v>1498</v>
      </c>
      <c r="B9" s="540"/>
      <c r="C9" s="558"/>
      <c r="D9" s="558"/>
      <c r="E9" s="558"/>
      <c r="F9" s="558"/>
      <c r="G9" s="558"/>
      <c r="H9" s="558"/>
      <c r="I9" s="558"/>
      <c r="J9" s="558"/>
      <c r="K9" s="558">
        <f>+(K10*AA10)+(K16*AA16)</f>
        <v>1</v>
      </c>
      <c r="L9" s="558">
        <f>+(L10*AA10)+(L16*AA16)</f>
        <v>1</v>
      </c>
      <c r="M9" s="558">
        <f>+(M10*AC10)+(M16*AC16)</f>
        <v>1</v>
      </c>
      <c r="N9" s="883"/>
      <c r="O9" s="883"/>
      <c r="P9" s="883"/>
      <c r="Q9" s="883"/>
      <c r="R9" s="883"/>
      <c r="S9" s="883"/>
      <c r="T9" s="883"/>
      <c r="U9" s="883"/>
      <c r="V9" s="883"/>
      <c r="W9" s="883"/>
      <c r="X9" s="558"/>
      <c r="Y9" s="558"/>
      <c r="Z9" s="558">
        <f>+(Z10*AA10)+(Z16*AA16)</f>
        <v>0.94469758064516141</v>
      </c>
      <c r="AA9" s="575">
        <v>1</v>
      </c>
      <c r="AB9" s="575">
        <v>1</v>
      </c>
      <c r="AC9" s="575">
        <v>1</v>
      </c>
      <c r="AD9" s="559">
        <f>SUM(AD10:AD20)</f>
        <v>6571099166</v>
      </c>
      <c r="AE9" s="559">
        <f>SUM(AE10:AE20)</f>
        <v>6552989945</v>
      </c>
      <c r="AF9" s="581">
        <f>AE9/AD9</f>
        <v>0.9972441108340443</v>
      </c>
      <c r="AG9" s="559">
        <f t="shared" ref="AG9:AM9" si="2">+AG10+AG16</f>
        <v>2345025756</v>
      </c>
      <c r="AH9" s="581">
        <f>+AG9/AD9</f>
        <v>0.35686963425138485</v>
      </c>
      <c r="AI9" s="559">
        <f t="shared" si="2"/>
        <v>4207964189</v>
      </c>
      <c r="AJ9" s="559">
        <f>+AJ10+AJ16</f>
        <v>270207500</v>
      </c>
      <c r="AK9" s="559">
        <f t="shared" si="2"/>
        <v>270207500</v>
      </c>
      <c r="AL9" s="559">
        <f>+AL10+AL16</f>
        <v>2061388786</v>
      </c>
      <c r="AM9" s="559">
        <f t="shared" si="2"/>
        <v>1983114980</v>
      </c>
      <c r="AN9" s="559">
        <f>+AM9/AL9</f>
        <v>0.96202860589346395</v>
      </c>
      <c r="AO9" s="559">
        <f>SUM(AO10:AO20)</f>
        <v>15691338388</v>
      </c>
      <c r="AP9" s="559">
        <f>SUM(AP10:AP20)</f>
        <v>10610691943</v>
      </c>
      <c r="AQ9" s="581">
        <f>AP9/AO9</f>
        <v>0.67621331467267065</v>
      </c>
      <c r="AR9" s="544"/>
      <c r="AS9" s="545" t="s">
        <v>1489</v>
      </c>
      <c r="AT9" s="544"/>
      <c r="AU9" s="546" t="s">
        <v>1760</v>
      </c>
      <c r="AV9" s="546"/>
      <c r="AW9" s="546"/>
    </row>
    <row r="10" spans="1:49" ht="38.25" x14ac:dyDescent="0.25">
      <c r="A10" s="555" t="s">
        <v>1499</v>
      </c>
      <c r="B10" s="554" t="s">
        <v>1724</v>
      </c>
      <c r="C10" s="548"/>
      <c r="D10" s="548"/>
      <c r="E10" s="548"/>
      <c r="F10" s="548"/>
      <c r="G10" s="548"/>
      <c r="H10" s="548"/>
      <c r="I10" s="548"/>
      <c r="J10" s="548"/>
      <c r="K10" s="549">
        <f>+(K11*25%)+(K12*25%)+(K13*25%)+(K15*25%)</f>
        <v>1</v>
      </c>
      <c r="L10" s="549">
        <f>+SUMPRODUCT(L11:L15,AB11:AB15)</f>
        <v>1</v>
      </c>
      <c r="M10" s="549">
        <f>+(M11*25%)+(M12*25%)+(M13*25%)+(M15*25%)</f>
        <v>1</v>
      </c>
      <c r="N10" s="570"/>
      <c r="O10" s="570"/>
      <c r="P10" s="570"/>
      <c r="Q10" s="570"/>
      <c r="R10" s="570"/>
      <c r="S10" s="570"/>
      <c r="T10" s="570"/>
      <c r="U10" s="570"/>
      <c r="V10" s="570"/>
      <c r="W10" s="570"/>
      <c r="X10" s="548">
        <v>1</v>
      </c>
      <c r="Y10" s="548"/>
      <c r="Z10" s="577">
        <f>+SUMPRODUCT(Z11:Z15,AA11:AA15)</f>
        <v>0.9206451612903227</v>
      </c>
      <c r="AA10" s="577">
        <v>0.5</v>
      </c>
      <c r="AB10" s="577">
        <v>0.5</v>
      </c>
      <c r="AC10" s="577">
        <v>0.5</v>
      </c>
      <c r="AD10" s="571">
        <v>1639594000</v>
      </c>
      <c r="AE10" s="570">
        <v>1630096277</v>
      </c>
      <c r="AF10" s="548">
        <f>AE10/AD10</f>
        <v>0.99420727143426968</v>
      </c>
      <c r="AG10" s="570">
        <v>1148471277</v>
      </c>
      <c r="AH10" s="548">
        <f>+AG10/AD10</f>
        <v>0.70046077077617996</v>
      </c>
      <c r="AI10" s="886">
        <f>+AE10-AG10</f>
        <v>481625000</v>
      </c>
      <c r="AJ10" s="886">
        <v>58271808</v>
      </c>
      <c r="AK10" s="886">
        <v>58271808</v>
      </c>
      <c r="AL10" s="886">
        <f>102000000+3000000+107815000</f>
        <v>212815000</v>
      </c>
      <c r="AM10" s="886">
        <v>212815000</v>
      </c>
      <c r="AN10" s="887">
        <f t="shared" ref="AN10:AN73" si="3">+AM10/AL10</f>
        <v>1</v>
      </c>
      <c r="AO10" s="570">
        <v>3666284949</v>
      </c>
      <c r="AP10" s="571">
        <v>3097753105</v>
      </c>
      <c r="AQ10" s="549">
        <f>AP10/AO10</f>
        <v>0.8449297171636726</v>
      </c>
      <c r="AR10" s="550"/>
      <c r="AS10" s="551" t="s">
        <v>1489</v>
      </c>
      <c r="AT10" s="552"/>
      <c r="AU10" s="553"/>
      <c r="AV10" s="553"/>
      <c r="AW10" s="553"/>
    </row>
    <row r="11" spans="1:49" ht="51" x14ac:dyDescent="0.25">
      <c r="A11" s="400" t="s">
        <v>1500</v>
      </c>
      <c r="B11" s="481" t="s">
        <v>1637</v>
      </c>
      <c r="C11" s="481">
        <v>2</v>
      </c>
      <c r="D11" s="481">
        <v>10</v>
      </c>
      <c r="E11" s="481">
        <v>10</v>
      </c>
      <c r="F11" s="481">
        <v>3</v>
      </c>
      <c r="G11" s="481">
        <v>15</v>
      </c>
      <c r="H11" s="481">
        <v>10</v>
      </c>
      <c r="I11" s="481"/>
      <c r="J11" s="481"/>
      <c r="K11" s="496">
        <f>IF(F11/C11&gt;=100%,100%,F11/C11)</f>
        <v>1</v>
      </c>
      <c r="L11" s="496">
        <f>IF(G11/D11&gt;=100%,100%,G11/D11)</f>
        <v>1</v>
      </c>
      <c r="M11" s="496">
        <f>IF(H11/E11&gt;=100%,100%,H11/E11)</f>
        <v>1</v>
      </c>
      <c r="N11" s="401"/>
      <c r="O11" s="401"/>
      <c r="P11" s="401"/>
      <c r="Q11" s="401"/>
      <c r="R11" s="401"/>
      <c r="S11" s="401"/>
      <c r="T11" s="401"/>
      <c r="U11" s="401"/>
      <c r="V11" s="401"/>
      <c r="W11" s="401"/>
      <c r="X11" s="493">
        <v>31</v>
      </c>
      <c r="Y11" s="493">
        <f>SUM(F11:H11)</f>
        <v>28</v>
      </c>
      <c r="Z11" s="500">
        <f t="shared" ref="Z11" si="4">IF(Y11/X11&gt;=100%,100%,Y11/X11)</f>
        <v>0.90322580645161288</v>
      </c>
      <c r="AA11" s="496">
        <v>0.2</v>
      </c>
      <c r="AB11" s="496">
        <v>0.2</v>
      </c>
      <c r="AC11" s="496">
        <v>0.25</v>
      </c>
      <c r="AD11" s="402"/>
      <c r="AE11" s="401"/>
      <c r="AF11" s="486"/>
      <c r="AG11" s="401"/>
      <c r="AH11" s="486">
        <f t="shared" ref="AH11:AH72" si="5">+AG11/AB11</f>
        <v>0</v>
      </c>
      <c r="AI11" s="888">
        <f t="shared" ref="AI11:AI74" si="6">+AD11-AG11</f>
        <v>0</v>
      </c>
      <c r="AJ11" s="401"/>
      <c r="AK11" s="401"/>
      <c r="AL11" s="401"/>
      <c r="AM11" s="401"/>
      <c r="AN11" s="401" t="e">
        <f t="shared" si="3"/>
        <v>#DIV/0!</v>
      </c>
      <c r="AO11" s="401"/>
      <c r="AP11" s="402"/>
      <c r="AQ11" s="496"/>
      <c r="AR11" s="471"/>
      <c r="AS11" s="475"/>
      <c r="AT11" s="474" t="s">
        <v>1121</v>
      </c>
      <c r="AU11" s="476"/>
      <c r="AV11" s="476"/>
      <c r="AW11" s="476"/>
    </row>
    <row r="12" spans="1:49" ht="51" x14ac:dyDescent="0.25">
      <c r="A12" s="400" t="s">
        <v>1501</v>
      </c>
      <c r="B12" s="481" t="s">
        <v>1638</v>
      </c>
      <c r="C12" s="481">
        <v>5</v>
      </c>
      <c r="D12" s="481">
        <v>10</v>
      </c>
      <c r="E12" s="481">
        <v>10</v>
      </c>
      <c r="F12" s="481">
        <v>9</v>
      </c>
      <c r="G12" s="481">
        <v>10</v>
      </c>
      <c r="H12" s="481">
        <v>19</v>
      </c>
      <c r="I12" s="481"/>
      <c r="J12" s="481"/>
      <c r="K12" s="496">
        <f t="shared" ref="K12:K15" si="7">IF(F12/C12&gt;=100%,100%,F12/C12)</f>
        <v>1</v>
      </c>
      <c r="L12" s="496">
        <f t="shared" ref="L12:L15" si="8">IF(G12/D12&gt;=100%,100%,G12/D12)</f>
        <v>1</v>
      </c>
      <c r="M12" s="496">
        <f t="shared" ref="M12:M15" si="9">IF(H12/E12&gt;=100%,100%,H12/E12)</f>
        <v>1</v>
      </c>
      <c r="N12" s="401"/>
      <c r="O12" s="401"/>
      <c r="P12" s="401"/>
      <c r="Q12" s="401"/>
      <c r="R12" s="401"/>
      <c r="S12" s="401"/>
      <c r="T12" s="401"/>
      <c r="U12" s="401"/>
      <c r="V12" s="401"/>
      <c r="W12" s="401"/>
      <c r="X12" s="493">
        <v>35</v>
      </c>
      <c r="Y12" s="493">
        <f>SUM(F12:H12)</f>
        <v>38</v>
      </c>
      <c r="Z12" s="500">
        <f t="shared" ref="Z12:Z15" si="10">IF(Y12/X12&gt;=100%,100%,Y12/X12)</f>
        <v>1</v>
      </c>
      <c r="AA12" s="496">
        <v>0.2</v>
      </c>
      <c r="AB12" s="496">
        <v>0.2</v>
      </c>
      <c r="AC12" s="496">
        <v>0.25</v>
      </c>
      <c r="AD12" s="402"/>
      <c r="AE12" s="401"/>
      <c r="AF12" s="486"/>
      <c r="AG12" s="401"/>
      <c r="AH12" s="486">
        <f t="shared" si="5"/>
        <v>0</v>
      </c>
      <c r="AI12" s="888">
        <f t="shared" si="6"/>
        <v>0</v>
      </c>
      <c r="AJ12" s="401"/>
      <c r="AK12" s="401"/>
      <c r="AL12" s="401"/>
      <c r="AM12" s="401"/>
      <c r="AN12" s="401" t="e">
        <f t="shared" si="3"/>
        <v>#DIV/0!</v>
      </c>
      <c r="AO12" s="401"/>
      <c r="AP12" s="402"/>
      <c r="AQ12" s="496"/>
      <c r="AR12" s="471"/>
      <c r="AS12" s="475"/>
      <c r="AT12" s="474" t="s">
        <v>1121</v>
      </c>
      <c r="AU12" s="476"/>
      <c r="AV12" s="476"/>
      <c r="AW12" s="476"/>
    </row>
    <row r="13" spans="1:49" ht="51" x14ac:dyDescent="0.25">
      <c r="A13" s="400" t="s">
        <v>1502</v>
      </c>
      <c r="B13" s="481" t="s">
        <v>1639</v>
      </c>
      <c r="C13" s="481">
        <v>5</v>
      </c>
      <c r="D13" s="481">
        <v>5</v>
      </c>
      <c r="E13" s="481">
        <v>5</v>
      </c>
      <c r="F13" s="481">
        <v>5</v>
      </c>
      <c r="G13" s="481">
        <v>8</v>
      </c>
      <c r="H13" s="481">
        <v>6</v>
      </c>
      <c r="I13" s="481"/>
      <c r="J13" s="481"/>
      <c r="K13" s="496">
        <f t="shared" si="7"/>
        <v>1</v>
      </c>
      <c r="L13" s="496">
        <f t="shared" si="8"/>
        <v>1</v>
      </c>
      <c r="M13" s="496">
        <f t="shared" si="9"/>
        <v>1</v>
      </c>
      <c r="N13" s="401"/>
      <c r="O13" s="401"/>
      <c r="P13" s="401"/>
      <c r="Q13" s="401"/>
      <c r="R13" s="401"/>
      <c r="S13" s="401"/>
      <c r="T13" s="401"/>
      <c r="U13" s="401"/>
      <c r="V13" s="401"/>
      <c r="W13" s="401"/>
      <c r="X13" s="493">
        <v>20</v>
      </c>
      <c r="Y13" s="493">
        <f>SUM(F13:H13)</f>
        <v>19</v>
      </c>
      <c r="Z13" s="500">
        <f t="shared" si="10"/>
        <v>0.95</v>
      </c>
      <c r="AA13" s="496">
        <v>0.2</v>
      </c>
      <c r="AB13" s="496">
        <v>0.2</v>
      </c>
      <c r="AC13" s="496">
        <v>0.25</v>
      </c>
      <c r="AD13" s="402"/>
      <c r="AE13" s="401"/>
      <c r="AF13" s="486"/>
      <c r="AG13" s="401"/>
      <c r="AH13" s="486">
        <f t="shared" si="5"/>
        <v>0</v>
      </c>
      <c r="AI13" s="888">
        <f t="shared" si="6"/>
        <v>0</v>
      </c>
      <c r="AJ13" s="401"/>
      <c r="AK13" s="401"/>
      <c r="AL13" s="401"/>
      <c r="AM13" s="401"/>
      <c r="AN13" s="401" t="e">
        <f t="shared" si="3"/>
        <v>#DIV/0!</v>
      </c>
      <c r="AO13" s="401"/>
      <c r="AP13" s="402"/>
      <c r="AQ13" s="496"/>
      <c r="AR13" s="471"/>
      <c r="AS13" s="475"/>
      <c r="AT13" s="474" t="s">
        <v>1121</v>
      </c>
      <c r="AU13" s="476"/>
      <c r="AV13" s="476"/>
      <c r="AW13" s="476"/>
    </row>
    <row r="14" spans="1:49" ht="51" x14ac:dyDescent="0.25">
      <c r="A14" s="404" t="s">
        <v>1503</v>
      </c>
      <c r="B14" s="481" t="s">
        <v>1640</v>
      </c>
      <c r="C14" s="487">
        <v>0</v>
      </c>
      <c r="D14" s="481">
        <v>1</v>
      </c>
      <c r="E14" s="481"/>
      <c r="F14" s="481"/>
      <c r="G14" s="481">
        <v>1</v>
      </c>
      <c r="H14" s="481"/>
      <c r="I14" s="481"/>
      <c r="J14" s="481"/>
      <c r="K14" s="496" t="e">
        <f t="shared" si="7"/>
        <v>#DIV/0!</v>
      </c>
      <c r="L14" s="496">
        <f t="shared" si="8"/>
        <v>1</v>
      </c>
      <c r="M14" s="496" t="e">
        <f t="shared" si="9"/>
        <v>#DIV/0!</v>
      </c>
      <c r="N14" s="401"/>
      <c r="O14" s="401"/>
      <c r="P14" s="401"/>
      <c r="Q14" s="401"/>
      <c r="R14" s="401"/>
      <c r="S14" s="401"/>
      <c r="T14" s="401"/>
      <c r="U14" s="401"/>
      <c r="V14" s="401"/>
      <c r="W14" s="401"/>
      <c r="X14" s="493">
        <v>1</v>
      </c>
      <c r="Y14" s="493">
        <f>SUM(F14:H14)</f>
        <v>1</v>
      </c>
      <c r="Z14" s="500">
        <f t="shared" si="10"/>
        <v>1</v>
      </c>
      <c r="AA14" s="496">
        <v>0.2</v>
      </c>
      <c r="AB14" s="496">
        <v>0.2</v>
      </c>
      <c r="AC14" s="496"/>
      <c r="AD14" s="402"/>
      <c r="AE14" s="401"/>
      <c r="AF14" s="486"/>
      <c r="AG14" s="401"/>
      <c r="AH14" s="486">
        <f t="shared" si="5"/>
        <v>0</v>
      </c>
      <c r="AI14" s="888">
        <f t="shared" si="6"/>
        <v>0</v>
      </c>
      <c r="AJ14" s="401"/>
      <c r="AK14" s="401"/>
      <c r="AL14" s="401"/>
      <c r="AM14" s="401"/>
      <c r="AN14" s="401" t="e">
        <f t="shared" si="3"/>
        <v>#DIV/0!</v>
      </c>
      <c r="AO14" s="401"/>
      <c r="AP14" s="402"/>
      <c r="AQ14" s="496"/>
      <c r="AR14" s="471"/>
      <c r="AS14" s="475"/>
      <c r="AT14" s="474" t="s">
        <v>1121</v>
      </c>
      <c r="AU14" s="476"/>
      <c r="AV14" s="476"/>
      <c r="AW14" s="476"/>
    </row>
    <row r="15" spans="1:49" ht="51" x14ac:dyDescent="0.25">
      <c r="A15" s="405" t="s">
        <v>1504</v>
      </c>
      <c r="B15" s="481" t="s">
        <v>1641</v>
      </c>
      <c r="C15" s="481">
        <v>1</v>
      </c>
      <c r="D15" s="481">
        <v>1</v>
      </c>
      <c r="E15" s="481">
        <v>1</v>
      </c>
      <c r="F15" s="481">
        <v>1</v>
      </c>
      <c r="G15" s="481">
        <v>1</v>
      </c>
      <c r="H15" s="481">
        <v>1</v>
      </c>
      <c r="I15" s="481"/>
      <c r="J15" s="481"/>
      <c r="K15" s="496">
        <f t="shared" si="7"/>
        <v>1</v>
      </c>
      <c r="L15" s="496">
        <f t="shared" si="8"/>
        <v>1</v>
      </c>
      <c r="M15" s="496">
        <f t="shared" si="9"/>
        <v>1</v>
      </c>
      <c r="N15" s="401"/>
      <c r="O15" s="401"/>
      <c r="P15" s="401"/>
      <c r="Q15" s="401"/>
      <c r="R15" s="401"/>
      <c r="S15" s="401"/>
      <c r="T15" s="401"/>
      <c r="U15" s="401"/>
      <c r="V15" s="401"/>
      <c r="W15" s="401"/>
      <c r="X15" s="493">
        <v>4</v>
      </c>
      <c r="Y15" s="493">
        <f>SUM(F15:H15)</f>
        <v>3</v>
      </c>
      <c r="Z15" s="500">
        <f t="shared" si="10"/>
        <v>0.75</v>
      </c>
      <c r="AA15" s="496">
        <v>0.2</v>
      </c>
      <c r="AB15" s="496">
        <v>0.2</v>
      </c>
      <c r="AC15" s="496">
        <v>0.25</v>
      </c>
      <c r="AD15" s="402"/>
      <c r="AE15" s="401"/>
      <c r="AF15" s="486"/>
      <c r="AG15" s="401"/>
      <c r="AH15" s="486">
        <f t="shared" si="5"/>
        <v>0</v>
      </c>
      <c r="AI15" s="888">
        <f t="shared" si="6"/>
        <v>0</v>
      </c>
      <c r="AJ15" s="401"/>
      <c r="AK15" s="401"/>
      <c r="AL15" s="401"/>
      <c r="AM15" s="401"/>
      <c r="AN15" s="401" t="e">
        <f t="shared" si="3"/>
        <v>#DIV/0!</v>
      </c>
      <c r="AO15" s="401"/>
      <c r="AP15" s="402"/>
      <c r="AQ15" s="496"/>
      <c r="AR15" s="471"/>
      <c r="AS15" s="475"/>
      <c r="AT15" s="474" t="s">
        <v>1121</v>
      </c>
      <c r="AU15" s="476"/>
      <c r="AV15" s="476"/>
      <c r="AW15" s="476"/>
    </row>
    <row r="16" spans="1:49" ht="38.25" x14ac:dyDescent="0.25">
      <c r="A16" s="555" t="s">
        <v>1505</v>
      </c>
      <c r="B16" s="547" t="s">
        <v>1724</v>
      </c>
      <c r="C16" s="548"/>
      <c r="D16" s="548"/>
      <c r="E16" s="548"/>
      <c r="F16" s="548"/>
      <c r="G16" s="548"/>
      <c r="H16" s="548"/>
      <c r="I16" s="548"/>
      <c r="J16" s="548"/>
      <c r="K16" s="549">
        <f>+SUMPRODUCT(K17:K20,AA17:AA20)</f>
        <v>1</v>
      </c>
      <c r="L16" s="549">
        <f>+SUMPRODUCT(L17:L20,AA17:AA20)</f>
        <v>1</v>
      </c>
      <c r="M16" s="549">
        <f>+SUMPRODUCT(M17:M20,AC17:AC20)</f>
        <v>1</v>
      </c>
      <c r="N16" s="570"/>
      <c r="O16" s="570"/>
      <c r="P16" s="570"/>
      <c r="Q16" s="570"/>
      <c r="R16" s="570"/>
      <c r="S16" s="570"/>
      <c r="T16" s="570"/>
      <c r="U16" s="570"/>
      <c r="V16" s="570"/>
      <c r="W16" s="570"/>
      <c r="X16" s="548">
        <v>1</v>
      </c>
      <c r="Y16" s="548"/>
      <c r="Z16" s="549">
        <f>+SUMPRODUCT(Z17:Z20,AA17:AA20)</f>
        <v>0.96875</v>
      </c>
      <c r="AA16" s="549">
        <v>0.5</v>
      </c>
      <c r="AB16" s="549">
        <v>0.5</v>
      </c>
      <c r="AC16" s="549">
        <v>0.5</v>
      </c>
      <c r="AD16" s="571">
        <v>4931505166</v>
      </c>
      <c r="AE16" s="570">
        <v>4922893668</v>
      </c>
      <c r="AF16" s="548">
        <f>AE16/AD16</f>
        <v>0.99825377897616907</v>
      </c>
      <c r="AG16" s="570">
        <v>1196554479</v>
      </c>
      <c r="AH16" s="548">
        <f>+AG16/AD16</f>
        <v>0.24263474106233959</v>
      </c>
      <c r="AI16" s="886">
        <f>+AE16-AG16</f>
        <v>3726339189</v>
      </c>
      <c r="AJ16" s="886">
        <v>211935692</v>
      </c>
      <c r="AK16" s="886">
        <v>211935692</v>
      </c>
      <c r="AL16" s="886">
        <f>1628573786+220000000</f>
        <v>1848573786</v>
      </c>
      <c r="AM16" s="886">
        <f>1550299980+220000000</f>
        <v>1770299980</v>
      </c>
      <c r="AN16" s="887">
        <f t="shared" si="3"/>
        <v>0.95765719140193417</v>
      </c>
      <c r="AO16" s="570">
        <v>12025053439</v>
      </c>
      <c r="AP16" s="571">
        <v>7512938838</v>
      </c>
      <c r="AQ16" s="549">
        <f>AP16/AO16</f>
        <v>0.62477384205494013</v>
      </c>
      <c r="AR16" s="550"/>
      <c r="AS16" s="551" t="s">
        <v>1489</v>
      </c>
      <c r="AT16" s="552"/>
      <c r="AU16" s="553"/>
      <c r="AV16" s="553"/>
      <c r="AW16" s="553"/>
    </row>
    <row r="17" spans="1:49" ht="51" x14ac:dyDescent="0.25">
      <c r="A17" s="406" t="s">
        <v>1506</v>
      </c>
      <c r="B17" s="481" t="s">
        <v>1722</v>
      </c>
      <c r="C17" s="481">
        <v>1</v>
      </c>
      <c r="D17" s="481">
        <v>2</v>
      </c>
      <c r="E17" s="481">
        <v>2</v>
      </c>
      <c r="F17" s="481">
        <v>2</v>
      </c>
      <c r="G17" s="481">
        <v>2</v>
      </c>
      <c r="H17" s="481">
        <v>3</v>
      </c>
      <c r="I17" s="481"/>
      <c r="J17" s="481"/>
      <c r="K17" s="496">
        <f t="shared" ref="K17:K20" si="11">IF(F17/C17&gt;=100%,100%,F17/C17)</f>
        <v>1</v>
      </c>
      <c r="L17" s="496">
        <f t="shared" ref="L17:L20" si="12">IF(G17/D17&gt;=100%,100%,G17/D17)</f>
        <v>1</v>
      </c>
      <c r="M17" s="496">
        <f t="shared" ref="M17:M20" si="13">IF(H17/E17&gt;=100%,100%,H17/E17)</f>
        <v>1</v>
      </c>
      <c r="N17" s="401"/>
      <c r="O17" s="401"/>
      <c r="P17" s="401"/>
      <c r="Q17" s="401"/>
      <c r="R17" s="401"/>
      <c r="S17" s="401"/>
      <c r="T17" s="401"/>
      <c r="U17" s="401"/>
      <c r="V17" s="401"/>
      <c r="W17" s="401"/>
      <c r="X17" s="481">
        <v>8</v>
      </c>
      <c r="Y17" s="493">
        <f>SUM(F17:H17)</f>
        <v>7</v>
      </c>
      <c r="Z17" s="500">
        <f t="shared" ref="Z17:Z20" si="14">IF(Y17/X17&gt;=100%,100%,Y17/X17)</f>
        <v>0.875</v>
      </c>
      <c r="AA17" s="496">
        <v>0.25</v>
      </c>
      <c r="AB17" s="496">
        <v>0.25</v>
      </c>
      <c r="AC17" s="496">
        <v>0.25</v>
      </c>
      <c r="AD17" s="402"/>
      <c r="AE17" s="401"/>
      <c r="AF17" s="486"/>
      <c r="AG17" s="401"/>
      <c r="AH17" s="486">
        <f t="shared" si="5"/>
        <v>0</v>
      </c>
      <c r="AI17" s="888">
        <f t="shared" si="6"/>
        <v>0</v>
      </c>
      <c r="AJ17" s="401"/>
      <c r="AK17" s="401"/>
      <c r="AL17" s="401"/>
      <c r="AM17" s="401"/>
      <c r="AN17" s="401" t="e">
        <f t="shared" si="3"/>
        <v>#DIV/0!</v>
      </c>
      <c r="AO17" s="401"/>
      <c r="AP17" s="402"/>
      <c r="AQ17" s="496"/>
      <c r="AR17" s="471"/>
      <c r="AS17" s="475"/>
      <c r="AT17" s="474" t="s">
        <v>1121</v>
      </c>
      <c r="AU17" s="476"/>
      <c r="AV17" s="476"/>
      <c r="AW17" s="476"/>
    </row>
    <row r="18" spans="1:49" ht="51" x14ac:dyDescent="0.25">
      <c r="A18" s="400" t="s">
        <v>1507</v>
      </c>
      <c r="B18" s="481" t="s">
        <v>1642</v>
      </c>
      <c r="C18" s="481">
        <v>1000</v>
      </c>
      <c r="D18" s="481">
        <v>3000</v>
      </c>
      <c r="E18" s="481">
        <v>2000</v>
      </c>
      <c r="F18" s="481">
        <v>2457</v>
      </c>
      <c r="G18" s="481">
        <v>8069</v>
      </c>
      <c r="H18" s="481">
        <v>2030</v>
      </c>
      <c r="I18" s="481"/>
      <c r="J18" s="481"/>
      <c r="K18" s="496">
        <f t="shared" si="11"/>
        <v>1</v>
      </c>
      <c r="L18" s="496">
        <f t="shared" si="12"/>
        <v>1</v>
      </c>
      <c r="M18" s="496">
        <f t="shared" si="13"/>
        <v>1</v>
      </c>
      <c r="N18" s="401"/>
      <c r="O18" s="401"/>
      <c r="P18" s="401"/>
      <c r="Q18" s="401"/>
      <c r="R18" s="401"/>
      <c r="S18" s="401"/>
      <c r="T18" s="401"/>
      <c r="U18" s="401"/>
      <c r="V18" s="401"/>
      <c r="W18" s="401"/>
      <c r="X18" s="481">
        <v>8000</v>
      </c>
      <c r="Y18" s="493">
        <f>SUM(F18:H18)</f>
        <v>12556</v>
      </c>
      <c r="Z18" s="500">
        <f t="shared" si="14"/>
        <v>1</v>
      </c>
      <c r="AA18" s="496">
        <v>0.25</v>
      </c>
      <c r="AB18" s="496">
        <v>0.25</v>
      </c>
      <c r="AC18" s="496">
        <v>0.25</v>
      </c>
      <c r="AD18" s="402"/>
      <c r="AE18" s="401"/>
      <c r="AF18" s="486"/>
      <c r="AG18" s="401"/>
      <c r="AH18" s="486">
        <f t="shared" si="5"/>
        <v>0</v>
      </c>
      <c r="AI18" s="888">
        <f t="shared" si="6"/>
        <v>0</v>
      </c>
      <c r="AJ18" s="401"/>
      <c r="AK18" s="401"/>
      <c r="AL18" s="401"/>
      <c r="AM18" s="401"/>
      <c r="AN18" s="401" t="e">
        <f t="shared" si="3"/>
        <v>#DIV/0!</v>
      </c>
      <c r="AO18" s="401"/>
      <c r="AP18" s="402"/>
      <c r="AQ18" s="496"/>
      <c r="AR18" s="471"/>
      <c r="AS18" s="475"/>
      <c r="AT18" s="474" t="s">
        <v>1121</v>
      </c>
      <c r="AU18" s="476"/>
      <c r="AV18" s="476"/>
      <c r="AW18" s="476"/>
    </row>
    <row r="19" spans="1:49" ht="51" x14ac:dyDescent="0.25">
      <c r="A19" s="404" t="s">
        <v>1508</v>
      </c>
      <c r="B19" s="481" t="s">
        <v>1643</v>
      </c>
      <c r="C19" s="481">
        <v>50</v>
      </c>
      <c r="D19" s="481">
        <v>150</v>
      </c>
      <c r="E19" s="481">
        <v>150</v>
      </c>
      <c r="F19" s="481">
        <v>84</v>
      </c>
      <c r="G19" s="481">
        <v>374</v>
      </c>
      <c r="H19" s="481">
        <v>188</v>
      </c>
      <c r="I19" s="481"/>
      <c r="J19" s="481"/>
      <c r="K19" s="496">
        <f t="shared" si="11"/>
        <v>1</v>
      </c>
      <c r="L19" s="496">
        <f t="shared" si="12"/>
        <v>1</v>
      </c>
      <c r="M19" s="496">
        <f t="shared" si="13"/>
        <v>1</v>
      </c>
      <c r="N19" s="401"/>
      <c r="O19" s="401"/>
      <c r="P19" s="401"/>
      <c r="Q19" s="401"/>
      <c r="R19" s="401"/>
      <c r="S19" s="401"/>
      <c r="T19" s="401"/>
      <c r="U19" s="401"/>
      <c r="V19" s="401"/>
      <c r="W19" s="401"/>
      <c r="X19" s="481">
        <v>500</v>
      </c>
      <c r="Y19" s="493">
        <f>SUM(F19:H19)</f>
        <v>646</v>
      </c>
      <c r="Z19" s="500">
        <f t="shared" si="14"/>
        <v>1</v>
      </c>
      <c r="AA19" s="496">
        <v>0.25</v>
      </c>
      <c r="AB19" s="496">
        <v>0.25</v>
      </c>
      <c r="AC19" s="496">
        <v>0.25</v>
      </c>
      <c r="AD19" s="402"/>
      <c r="AE19" s="401"/>
      <c r="AF19" s="486"/>
      <c r="AG19" s="401"/>
      <c r="AH19" s="486">
        <f t="shared" si="5"/>
        <v>0</v>
      </c>
      <c r="AI19" s="888">
        <f t="shared" si="6"/>
        <v>0</v>
      </c>
      <c r="AJ19" s="401"/>
      <c r="AK19" s="401"/>
      <c r="AL19" s="401"/>
      <c r="AM19" s="401"/>
      <c r="AN19" s="401" t="e">
        <f t="shared" si="3"/>
        <v>#DIV/0!</v>
      </c>
      <c r="AO19" s="401"/>
      <c r="AP19" s="402"/>
      <c r="AQ19" s="496"/>
      <c r="AR19" s="471"/>
      <c r="AS19" s="475"/>
      <c r="AT19" s="474" t="s">
        <v>1121</v>
      </c>
      <c r="AU19" s="476"/>
      <c r="AV19" s="476"/>
      <c r="AW19" s="476"/>
    </row>
    <row r="20" spans="1:49" ht="51.75" thickBot="1" x14ac:dyDescent="0.3">
      <c r="A20" s="410" t="s">
        <v>1509</v>
      </c>
      <c r="B20" s="482" t="s">
        <v>1644</v>
      </c>
      <c r="C20" s="482">
        <v>1</v>
      </c>
      <c r="D20" s="482">
        <v>1</v>
      </c>
      <c r="E20" s="482">
        <v>1</v>
      </c>
      <c r="F20" s="482">
        <v>1</v>
      </c>
      <c r="G20" s="482">
        <v>1</v>
      </c>
      <c r="H20" s="482">
        <v>2</v>
      </c>
      <c r="I20" s="482"/>
      <c r="J20" s="482"/>
      <c r="K20" s="496">
        <f t="shared" si="11"/>
        <v>1</v>
      </c>
      <c r="L20" s="496">
        <f t="shared" si="12"/>
        <v>1</v>
      </c>
      <c r="M20" s="496">
        <f t="shared" si="13"/>
        <v>1</v>
      </c>
      <c r="N20" s="411"/>
      <c r="O20" s="411"/>
      <c r="P20" s="411"/>
      <c r="Q20" s="411"/>
      <c r="R20" s="411"/>
      <c r="S20" s="411"/>
      <c r="T20" s="411"/>
      <c r="U20" s="411"/>
      <c r="V20" s="411"/>
      <c r="W20" s="411"/>
      <c r="X20" s="482">
        <v>4</v>
      </c>
      <c r="Y20" s="494">
        <f>SUM(F20:H20)</f>
        <v>4</v>
      </c>
      <c r="Z20" s="501">
        <f t="shared" si="14"/>
        <v>1</v>
      </c>
      <c r="AA20" s="492">
        <v>0.25</v>
      </c>
      <c r="AB20" s="492">
        <v>0.25</v>
      </c>
      <c r="AC20" s="492">
        <v>0.25</v>
      </c>
      <c r="AD20" s="412"/>
      <c r="AE20" s="411"/>
      <c r="AF20" s="489"/>
      <c r="AG20" s="411"/>
      <c r="AH20" s="489">
        <f t="shared" si="5"/>
        <v>0</v>
      </c>
      <c r="AI20" s="888">
        <f t="shared" si="6"/>
        <v>0</v>
      </c>
      <c r="AJ20" s="411"/>
      <c r="AK20" s="411"/>
      <c r="AL20" s="411"/>
      <c r="AM20" s="411"/>
      <c r="AN20" s="411" t="e">
        <f t="shared" si="3"/>
        <v>#DIV/0!</v>
      </c>
      <c r="AO20" s="411"/>
      <c r="AP20" s="412"/>
      <c r="AQ20" s="492"/>
      <c r="AR20" s="473"/>
      <c r="AS20" s="477"/>
      <c r="AT20" s="478" t="s">
        <v>1121</v>
      </c>
      <c r="AU20" s="479"/>
      <c r="AV20" s="479"/>
      <c r="AW20" s="479"/>
    </row>
    <row r="21" spans="1:49" ht="40.5" x14ac:dyDescent="0.25">
      <c r="A21" s="561" t="s">
        <v>2025</v>
      </c>
      <c r="B21" s="562"/>
      <c r="C21" s="563"/>
      <c r="D21" s="563"/>
      <c r="E21" s="563"/>
      <c r="F21" s="563"/>
      <c r="G21" s="563"/>
      <c r="H21" s="563"/>
      <c r="I21" s="563"/>
      <c r="J21" s="563"/>
      <c r="K21" s="563">
        <f>+(K22*AA22)+(K57*AA57)+(K75*AA75)+(K95*AA95)+(K101*AA101)+(K119*AA119)+(K127*AA127)</f>
        <v>0.95101370000000007</v>
      </c>
      <c r="L21" s="563">
        <f>+(L22*AA22)+(L57*AA57)+(L75*AA75)+(L95*AA95)+(L101*AA101)+(L119*AA119)+(L127*AA127)</f>
        <v>0.94257365333333343</v>
      </c>
      <c r="M21" s="563">
        <f>+(M22*AB22)+(M57*AB57)+(M75*AB75)+(M95*AB95)+(M101*AB101)+(M119*AB119)+(M127*AB127)</f>
        <v>0.85651443333333344</v>
      </c>
      <c r="N21" s="882"/>
      <c r="O21" s="882"/>
      <c r="P21" s="882"/>
      <c r="Q21" s="882"/>
      <c r="R21" s="882"/>
      <c r="S21" s="882"/>
      <c r="T21" s="882"/>
      <c r="U21" s="882"/>
      <c r="V21" s="882"/>
      <c r="W21" s="882"/>
      <c r="X21" s="563"/>
      <c r="Y21" s="563"/>
      <c r="Z21" s="573">
        <f>+(Z22*AA22)+(Z57*AA57)+(Z75*AA75)+(Z95*AA95)+(Z101*AA101)+(Z119*AA119)+(Z127*AA127)</f>
        <v>0.62028115750757584</v>
      </c>
      <c r="AA21" s="572">
        <v>0.34</v>
      </c>
      <c r="AB21" s="572">
        <v>0.34</v>
      </c>
      <c r="AC21" s="572">
        <v>0.34</v>
      </c>
      <c r="AD21" s="564">
        <f>AD22+AD57+AD75+AD95+AD101+AD119+AD127</f>
        <v>99220366399</v>
      </c>
      <c r="AE21" s="564">
        <f>AE22+AE57+AE75+AE95+AE101+AE119+AE127</f>
        <v>83575396733</v>
      </c>
      <c r="AF21" s="580">
        <f>AE21/AD21</f>
        <v>0.84232098475542738</v>
      </c>
      <c r="AG21" s="564">
        <f>AG22+AG57+AG75+AG95+AG101+AG119+AG127</f>
        <v>23493158697</v>
      </c>
      <c r="AH21" s="580">
        <f t="shared" ref="AH21:AH23" si="15">+AG21/AD21</f>
        <v>0.23677758457901418</v>
      </c>
      <c r="AI21" s="564">
        <f>AI22+AI57+AI75+AI95+AI101+AI119+AI127</f>
        <v>60082238036</v>
      </c>
      <c r="AJ21" s="564">
        <f>AJ22+AJ57+AJ75+AJ95+AJ101+AJ119+AJ127</f>
        <v>10859545265</v>
      </c>
      <c r="AK21" s="564">
        <f>AK22+AK57+AK75+AK95+AK101+AK119+AK127</f>
        <v>10776124935</v>
      </c>
      <c r="AL21" s="564">
        <f t="shared" ref="AL21:AM21" si="16">AL22+AL57+AL75+AL95+AL101+AL119+AL127</f>
        <v>9295244454</v>
      </c>
      <c r="AM21" s="564">
        <f t="shared" si="16"/>
        <v>9037625678</v>
      </c>
      <c r="AN21" s="889">
        <f t="shared" si="3"/>
        <v>0.97228488424646653</v>
      </c>
      <c r="AO21" s="564"/>
      <c r="AP21" s="564"/>
      <c r="AQ21" s="580"/>
      <c r="AR21" s="566"/>
      <c r="AS21" s="567"/>
      <c r="AT21" s="566"/>
      <c r="AU21" s="568"/>
      <c r="AV21" s="568"/>
      <c r="AW21" s="568"/>
    </row>
    <row r="22" spans="1:49" ht="76.5" x14ac:dyDescent="0.25">
      <c r="A22" s="557" t="s">
        <v>1510</v>
      </c>
      <c r="B22" s="540"/>
      <c r="C22" s="558"/>
      <c r="D22" s="558"/>
      <c r="E22" s="558"/>
      <c r="F22" s="558"/>
      <c r="G22" s="558"/>
      <c r="H22" s="558"/>
      <c r="I22" s="558"/>
      <c r="J22" s="558"/>
      <c r="K22" s="558">
        <f>+(K23*20%)+(K31*20%)+(K34*20%)+(K41*20%)+(K52*20%)</f>
        <v>0.94457999999999998</v>
      </c>
      <c r="L22" s="558">
        <f>+(L23*AA23)+(L31*AA31)+(L34*AA34)+(L41*AA41)+(L49*AA49)+(L52*AA52)</f>
        <v>0.85625466666666683</v>
      </c>
      <c r="M22" s="558">
        <f>+(M23*AC23)+(M31*AC31)+(M34*AC34)+(M41*AC41)+(M49*AC49)+(M52*AC52)</f>
        <v>0.93715666666666675</v>
      </c>
      <c r="N22" s="883"/>
      <c r="O22" s="883"/>
      <c r="P22" s="883"/>
      <c r="Q22" s="883"/>
      <c r="R22" s="883"/>
      <c r="S22" s="883"/>
      <c r="T22" s="883"/>
      <c r="U22" s="883"/>
      <c r="V22" s="883"/>
      <c r="W22" s="883"/>
      <c r="X22" s="558"/>
      <c r="Y22" s="558"/>
      <c r="Z22" s="558">
        <f>+(Z23*AA23)+(Z31*AA31)+(Z34*AA34)+(Z41*AA41)+(Z49*AA49)+(Z52*AA52)</f>
        <v>0.76944832698412713</v>
      </c>
      <c r="AA22" s="575">
        <v>0.14000000000000001</v>
      </c>
      <c r="AB22" s="575">
        <v>0.14000000000000001</v>
      </c>
      <c r="AC22" s="575">
        <v>0.14000000000000001</v>
      </c>
      <c r="AD22" s="559">
        <f>SUM(AD23:AD56)</f>
        <v>6769912020</v>
      </c>
      <c r="AE22" s="559">
        <f>SUM(AE23:AE56)</f>
        <v>5290281354</v>
      </c>
      <c r="AF22" s="560">
        <f>AE22/AD22</f>
        <v>0.78144019277816257</v>
      </c>
      <c r="AG22" s="559">
        <f t="shared" ref="AG22:AM22" si="17">AG23+AG31+AG34+AG41+AG49+AG52</f>
        <v>4695516056</v>
      </c>
      <c r="AH22" s="560">
        <f t="shared" si="15"/>
        <v>0.69358597897997498</v>
      </c>
      <c r="AI22" s="559">
        <f>AI23+AI31+AI34+AI41+AI49+AI52</f>
        <v>594765298</v>
      </c>
      <c r="AJ22" s="559">
        <f t="shared" si="17"/>
        <v>679529707</v>
      </c>
      <c r="AK22" s="559">
        <f t="shared" si="17"/>
        <v>667829542</v>
      </c>
      <c r="AL22" s="559">
        <f t="shared" si="17"/>
        <v>502030329</v>
      </c>
      <c r="AM22" s="559">
        <f t="shared" si="17"/>
        <v>491879663</v>
      </c>
      <c r="AN22" s="885">
        <f t="shared" si="3"/>
        <v>0.97978077137248021</v>
      </c>
      <c r="AO22" s="559">
        <f>SUM(AO23:AO56)</f>
        <v>17452583092</v>
      </c>
      <c r="AP22" s="559">
        <f>SUM(AP23:AP56)</f>
        <v>11409177098</v>
      </c>
      <c r="AQ22" s="581">
        <f>AP22/AO22</f>
        <v>0.65372426751142609</v>
      </c>
      <c r="AR22" s="544"/>
      <c r="AS22" s="545" t="s">
        <v>1482</v>
      </c>
      <c r="AT22" s="544"/>
      <c r="AU22" s="546" t="s">
        <v>1760</v>
      </c>
      <c r="AV22" s="546" t="s">
        <v>1760</v>
      </c>
      <c r="AW22" s="546" t="s">
        <v>1760</v>
      </c>
    </row>
    <row r="23" spans="1:49" ht="76.5" x14ac:dyDescent="0.25">
      <c r="A23" s="555" t="s">
        <v>1511</v>
      </c>
      <c r="B23" s="554" t="s">
        <v>1724</v>
      </c>
      <c r="C23" s="548"/>
      <c r="D23" s="548"/>
      <c r="E23" s="548"/>
      <c r="F23" s="548"/>
      <c r="G23" s="548"/>
      <c r="H23" s="548"/>
      <c r="I23" s="548"/>
      <c r="J23" s="548"/>
      <c r="K23" s="549">
        <f>+(K24*12.5%)+(K25*12.5%)+(K26*25%)+(K27*25%)+(K28*25%)</f>
        <v>1</v>
      </c>
      <c r="L23" s="549">
        <f>+SUMPRODUCT(L24:L30,AB24:AB30)</f>
        <v>0.9883333333333334</v>
      </c>
      <c r="M23" s="549">
        <f>+(M24*15%)+(M25*15%)+(M26*17.5%)+(M27*17.5%)+(M28*17.5%)+(M30*17.5%)</f>
        <v>1</v>
      </c>
      <c r="N23" s="570"/>
      <c r="O23" s="570"/>
      <c r="P23" s="570"/>
      <c r="Q23" s="570"/>
      <c r="R23" s="570"/>
      <c r="S23" s="570"/>
      <c r="T23" s="570"/>
      <c r="U23" s="570"/>
      <c r="V23" s="570"/>
      <c r="W23" s="570"/>
      <c r="X23" s="548">
        <v>1</v>
      </c>
      <c r="Y23" s="548"/>
      <c r="Z23" s="577">
        <f>+SUMPRODUCT(Z24:Z30,AA24:AA30)</f>
        <v>0.84166666666666667</v>
      </c>
      <c r="AA23" s="577">
        <v>0.17</v>
      </c>
      <c r="AB23" s="577">
        <v>0.17</v>
      </c>
      <c r="AC23" s="577">
        <v>0.17</v>
      </c>
      <c r="AD23" s="571">
        <v>95000000</v>
      </c>
      <c r="AE23" s="570">
        <v>4000000</v>
      </c>
      <c r="AF23" s="548">
        <f>AE23/AD23</f>
        <v>4.2105263157894736E-2</v>
      </c>
      <c r="AG23" s="570">
        <v>4000000</v>
      </c>
      <c r="AH23" s="548">
        <f t="shared" si="15"/>
        <v>4.2105263157894736E-2</v>
      </c>
      <c r="AI23" s="886">
        <f>+AE23-AG23</f>
        <v>0</v>
      </c>
      <c r="AJ23" s="886">
        <v>0</v>
      </c>
      <c r="AK23" s="886">
        <v>0</v>
      </c>
      <c r="AL23" s="886">
        <v>0</v>
      </c>
      <c r="AM23" s="886">
        <v>0</v>
      </c>
      <c r="AN23" s="887" t="e">
        <f t="shared" si="3"/>
        <v>#DIV/0!</v>
      </c>
      <c r="AO23" s="570">
        <v>364702142</v>
      </c>
      <c r="AP23" s="571">
        <v>171581040</v>
      </c>
      <c r="AQ23" s="549">
        <f>AP23/AO23</f>
        <v>0.47046896697415064</v>
      </c>
      <c r="AR23" s="550"/>
      <c r="AS23" s="551" t="s">
        <v>1482</v>
      </c>
      <c r="AT23" s="552"/>
      <c r="AU23" s="553"/>
      <c r="AV23" s="553"/>
      <c r="AW23" s="553"/>
    </row>
    <row r="24" spans="1:49" ht="89.25" x14ac:dyDescent="0.25">
      <c r="A24" s="406" t="s">
        <v>2028</v>
      </c>
      <c r="B24" s="481" t="s">
        <v>1651</v>
      </c>
      <c r="C24" s="486">
        <v>0.1</v>
      </c>
      <c r="D24" s="486">
        <v>0.5</v>
      </c>
      <c r="E24" s="486">
        <v>0.3</v>
      </c>
      <c r="F24" s="486">
        <v>0.1</v>
      </c>
      <c r="G24" s="486">
        <v>0.5</v>
      </c>
      <c r="H24" s="486">
        <v>0.3</v>
      </c>
      <c r="I24" s="486"/>
      <c r="J24" s="486"/>
      <c r="K24" s="496">
        <f t="shared" ref="K24:K30" si="18">IF(F24/C24&gt;=100%,100%,F24/C24)</f>
        <v>1</v>
      </c>
      <c r="L24" s="496">
        <f t="shared" ref="L24:L30" si="19">IF(G24/D24&gt;=100%,100%,G24/D24)</f>
        <v>1</v>
      </c>
      <c r="M24" s="496">
        <f t="shared" ref="M24:M30" si="20">IF(H24/E24&gt;=100%,100%,H24/E24)</f>
        <v>1</v>
      </c>
      <c r="N24" s="401"/>
      <c r="O24" s="401"/>
      <c r="P24" s="401"/>
      <c r="Q24" s="401"/>
      <c r="R24" s="401"/>
      <c r="S24" s="401"/>
      <c r="T24" s="401"/>
      <c r="U24" s="401"/>
      <c r="V24" s="401"/>
      <c r="W24" s="401"/>
      <c r="X24" s="486">
        <v>0.99999999999999989</v>
      </c>
      <c r="Y24" s="486">
        <f t="shared" ref="Y24:Y30" si="21">SUM(F24:H24)</f>
        <v>0.89999999999999991</v>
      </c>
      <c r="Z24" s="486">
        <f t="shared" ref="Z24:Z30" si="22">IF(Y24/X24&gt;=100%,100%,Y24/X24)</f>
        <v>0.9</v>
      </c>
      <c r="AA24" s="496">
        <v>0.14000000000000001</v>
      </c>
      <c r="AB24" s="496">
        <v>0.14000000000000001</v>
      </c>
      <c r="AC24" s="583">
        <v>0.15</v>
      </c>
      <c r="AD24" s="402"/>
      <c r="AE24" s="402"/>
      <c r="AF24" s="496"/>
      <c r="AG24" s="402"/>
      <c r="AH24" s="496">
        <f t="shared" si="5"/>
        <v>0</v>
      </c>
      <c r="AI24" s="888">
        <f t="shared" si="6"/>
        <v>0</v>
      </c>
      <c r="AJ24" s="402"/>
      <c r="AK24" s="402"/>
      <c r="AL24" s="402"/>
      <c r="AM24" s="402"/>
      <c r="AN24" s="402" t="e">
        <f t="shared" si="3"/>
        <v>#DIV/0!</v>
      </c>
      <c r="AO24" s="402"/>
      <c r="AP24" s="402"/>
      <c r="AQ24" s="496"/>
      <c r="AR24" s="403"/>
      <c r="AS24" s="475"/>
      <c r="AT24" s="474" t="s">
        <v>779</v>
      </c>
      <c r="AU24" s="476"/>
      <c r="AV24" s="476"/>
      <c r="AW24" s="476"/>
    </row>
    <row r="25" spans="1:49" ht="89.25" x14ac:dyDescent="0.25">
      <c r="A25" s="406" t="s">
        <v>2029</v>
      </c>
      <c r="B25" s="481" t="s">
        <v>1650</v>
      </c>
      <c r="C25" s="481">
        <v>3</v>
      </c>
      <c r="D25" s="481">
        <v>5</v>
      </c>
      <c r="E25" s="481">
        <v>5</v>
      </c>
      <c r="F25" s="481">
        <v>3</v>
      </c>
      <c r="G25" s="481">
        <v>5</v>
      </c>
      <c r="H25" s="481">
        <v>7</v>
      </c>
      <c r="I25" s="481"/>
      <c r="J25" s="481"/>
      <c r="K25" s="496">
        <f t="shared" si="18"/>
        <v>1</v>
      </c>
      <c r="L25" s="496">
        <f t="shared" si="19"/>
        <v>1</v>
      </c>
      <c r="M25" s="496">
        <f t="shared" si="20"/>
        <v>1</v>
      </c>
      <c r="N25" s="401"/>
      <c r="O25" s="401"/>
      <c r="P25" s="401"/>
      <c r="Q25" s="401"/>
      <c r="R25" s="401"/>
      <c r="S25" s="401"/>
      <c r="T25" s="401"/>
      <c r="U25" s="401"/>
      <c r="V25" s="401"/>
      <c r="W25" s="401"/>
      <c r="X25" s="481">
        <v>18</v>
      </c>
      <c r="Y25" s="481">
        <f t="shared" si="21"/>
        <v>15</v>
      </c>
      <c r="Z25" s="486">
        <f t="shared" si="22"/>
        <v>0.83333333333333337</v>
      </c>
      <c r="AA25" s="496">
        <v>0.14000000000000001</v>
      </c>
      <c r="AB25" s="496">
        <v>0.14000000000000001</v>
      </c>
      <c r="AC25" s="583">
        <v>0.15</v>
      </c>
      <c r="AD25" s="402"/>
      <c r="AE25" s="402"/>
      <c r="AF25" s="496"/>
      <c r="AG25" s="402"/>
      <c r="AH25" s="496">
        <f t="shared" si="5"/>
        <v>0</v>
      </c>
      <c r="AI25" s="888">
        <f t="shared" si="6"/>
        <v>0</v>
      </c>
      <c r="AJ25" s="402"/>
      <c r="AK25" s="402"/>
      <c r="AL25" s="402"/>
      <c r="AM25" s="402"/>
      <c r="AN25" s="402" t="e">
        <f t="shared" si="3"/>
        <v>#DIV/0!</v>
      </c>
      <c r="AO25" s="402"/>
      <c r="AP25" s="402"/>
      <c r="AQ25" s="496"/>
      <c r="AR25" s="403"/>
      <c r="AS25" s="475"/>
      <c r="AT25" s="474" t="s">
        <v>779</v>
      </c>
      <c r="AU25" s="476"/>
      <c r="AV25" s="476"/>
      <c r="AW25" s="476"/>
    </row>
    <row r="26" spans="1:49" ht="89.25" x14ac:dyDescent="0.25">
      <c r="A26" s="406" t="s">
        <v>1512</v>
      </c>
      <c r="B26" s="481" t="s">
        <v>1649</v>
      </c>
      <c r="C26" s="481">
        <v>1</v>
      </c>
      <c r="D26" s="481">
        <v>6</v>
      </c>
      <c r="E26" s="481">
        <v>6</v>
      </c>
      <c r="F26" s="481">
        <v>3</v>
      </c>
      <c r="G26" s="481">
        <v>6</v>
      </c>
      <c r="H26" s="481">
        <v>11</v>
      </c>
      <c r="I26" s="481"/>
      <c r="J26" s="481"/>
      <c r="K26" s="496">
        <f t="shared" si="18"/>
        <v>1</v>
      </c>
      <c r="L26" s="496">
        <f t="shared" si="19"/>
        <v>1</v>
      </c>
      <c r="M26" s="496">
        <f t="shared" si="20"/>
        <v>1</v>
      </c>
      <c r="N26" s="401"/>
      <c r="O26" s="401"/>
      <c r="P26" s="401"/>
      <c r="Q26" s="401"/>
      <c r="R26" s="401"/>
      <c r="S26" s="401"/>
      <c r="T26" s="401"/>
      <c r="U26" s="401"/>
      <c r="V26" s="401"/>
      <c r="W26" s="401"/>
      <c r="X26" s="481">
        <v>19</v>
      </c>
      <c r="Y26" s="481">
        <f t="shared" si="21"/>
        <v>20</v>
      </c>
      <c r="Z26" s="486">
        <f t="shared" si="22"/>
        <v>1</v>
      </c>
      <c r="AA26" s="496">
        <v>0.14000000000000001</v>
      </c>
      <c r="AB26" s="496">
        <v>0.14000000000000001</v>
      </c>
      <c r="AC26" s="583">
        <v>0.17499999999999999</v>
      </c>
      <c r="AD26" s="402"/>
      <c r="AE26" s="402"/>
      <c r="AF26" s="496"/>
      <c r="AG26" s="402"/>
      <c r="AH26" s="496">
        <f t="shared" si="5"/>
        <v>0</v>
      </c>
      <c r="AI26" s="888">
        <f t="shared" si="6"/>
        <v>0</v>
      </c>
      <c r="AJ26" s="402"/>
      <c r="AK26" s="402"/>
      <c r="AL26" s="402"/>
      <c r="AM26" s="402"/>
      <c r="AN26" s="402" t="e">
        <f t="shared" si="3"/>
        <v>#DIV/0!</v>
      </c>
      <c r="AO26" s="402"/>
      <c r="AP26" s="402"/>
      <c r="AQ26" s="496"/>
      <c r="AR26" s="403"/>
      <c r="AS26" s="475"/>
      <c r="AT26" s="474" t="s">
        <v>779</v>
      </c>
      <c r="AU26" s="476"/>
      <c r="AV26" s="476"/>
      <c r="AW26" s="476"/>
    </row>
    <row r="27" spans="1:49" ht="89.25" x14ac:dyDescent="0.25">
      <c r="A27" s="406" t="s">
        <v>1513</v>
      </c>
      <c r="B27" s="481" t="s">
        <v>1645</v>
      </c>
      <c r="C27" s="481">
        <v>12</v>
      </c>
      <c r="D27" s="481">
        <v>12</v>
      </c>
      <c r="E27" s="481">
        <v>22</v>
      </c>
      <c r="F27" s="481">
        <v>19</v>
      </c>
      <c r="G27" s="481">
        <v>11</v>
      </c>
      <c r="H27" s="481">
        <v>59</v>
      </c>
      <c r="I27" s="481"/>
      <c r="J27" s="481"/>
      <c r="K27" s="496">
        <f t="shared" si="18"/>
        <v>1</v>
      </c>
      <c r="L27" s="496">
        <f t="shared" si="19"/>
        <v>0.91666666666666663</v>
      </c>
      <c r="M27" s="496">
        <f t="shared" si="20"/>
        <v>1</v>
      </c>
      <c r="N27" s="401"/>
      <c r="O27" s="401"/>
      <c r="P27" s="401"/>
      <c r="Q27" s="401"/>
      <c r="R27" s="401"/>
      <c r="S27" s="401"/>
      <c r="T27" s="401"/>
      <c r="U27" s="401"/>
      <c r="V27" s="401"/>
      <c r="W27" s="401"/>
      <c r="X27" s="481">
        <v>72</v>
      </c>
      <c r="Y27" s="481">
        <f t="shared" si="21"/>
        <v>89</v>
      </c>
      <c r="Z27" s="486">
        <f t="shared" si="22"/>
        <v>1</v>
      </c>
      <c r="AA27" s="496">
        <v>0.14000000000000001</v>
      </c>
      <c r="AB27" s="496">
        <v>0.14000000000000001</v>
      </c>
      <c r="AC27" s="583">
        <v>0.17499999999999999</v>
      </c>
      <c r="AD27" s="402"/>
      <c r="AE27" s="402"/>
      <c r="AF27" s="496"/>
      <c r="AG27" s="402"/>
      <c r="AH27" s="496">
        <f t="shared" si="5"/>
        <v>0</v>
      </c>
      <c r="AI27" s="888">
        <f t="shared" si="6"/>
        <v>0</v>
      </c>
      <c r="AJ27" s="402"/>
      <c r="AK27" s="402"/>
      <c r="AL27" s="402"/>
      <c r="AM27" s="402"/>
      <c r="AN27" s="402" t="e">
        <f t="shared" si="3"/>
        <v>#DIV/0!</v>
      </c>
      <c r="AO27" s="402"/>
      <c r="AP27" s="402"/>
      <c r="AQ27" s="496"/>
      <c r="AR27" s="403"/>
      <c r="AS27" s="475"/>
      <c r="AT27" s="474" t="s">
        <v>779</v>
      </c>
      <c r="AU27" s="476"/>
      <c r="AV27" s="476"/>
      <c r="AW27" s="476"/>
    </row>
    <row r="28" spans="1:49" ht="89.25" x14ac:dyDescent="0.25">
      <c r="A28" s="406" t="s">
        <v>1514</v>
      </c>
      <c r="B28" s="481" t="s">
        <v>1648</v>
      </c>
      <c r="C28" s="486">
        <v>0.1</v>
      </c>
      <c r="D28" s="486">
        <v>0.2</v>
      </c>
      <c r="E28" s="486">
        <v>0.35</v>
      </c>
      <c r="F28" s="486">
        <v>0.1</v>
      </c>
      <c r="G28" s="486">
        <v>0.2</v>
      </c>
      <c r="H28" s="486">
        <v>0.35</v>
      </c>
      <c r="I28" s="481"/>
      <c r="J28" s="481"/>
      <c r="K28" s="496">
        <f t="shared" si="18"/>
        <v>1</v>
      </c>
      <c r="L28" s="496">
        <f t="shared" si="19"/>
        <v>1</v>
      </c>
      <c r="M28" s="496">
        <f t="shared" si="20"/>
        <v>1</v>
      </c>
      <c r="N28" s="401"/>
      <c r="O28" s="401"/>
      <c r="P28" s="401"/>
      <c r="Q28" s="401"/>
      <c r="R28" s="401"/>
      <c r="S28" s="401"/>
      <c r="T28" s="401"/>
      <c r="U28" s="401"/>
      <c r="V28" s="401"/>
      <c r="W28" s="401"/>
      <c r="X28" s="486">
        <v>1</v>
      </c>
      <c r="Y28" s="486">
        <f t="shared" si="21"/>
        <v>0.65</v>
      </c>
      <c r="Z28" s="486">
        <f t="shared" si="22"/>
        <v>0.65</v>
      </c>
      <c r="AA28" s="496">
        <v>0.14000000000000001</v>
      </c>
      <c r="AB28" s="496">
        <v>0.14000000000000001</v>
      </c>
      <c r="AC28" s="583">
        <v>0.17499999999999999</v>
      </c>
      <c r="AD28" s="402"/>
      <c r="AE28" s="402"/>
      <c r="AF28" s="496"/>
      <c r="AG28" s="402"/>
      <c r="AH28" s="496">
        <f t="shared" si="5"/>
        <v>0</v>
      </c>
      <c r="AI28" s="888">
        <f t="shared" si="6"/>
        <v>0</v>
      </c>
      <c r="AJ28" s="402"/>
      <c r="AK28" s="402"/>
      <c r="AL28" s="402"/>
      <c r="AM28" s="402"/>
      <c r="AN28" s="402" t="e">
        <f t="shared" si="3"/>
        <v>#DIV/0!</v>
      </c>
      <c r="AO28" s="402"/>
      <c r="AP28" s="402"/>
      <c r="AQ28" s="496"/>
      <c r="AR28" s="403"/>
      <c r="AS28" s="475"/>
      <c r="AT28" s="474" t="s">
        <v>779</v>
      </c>
      <c r="AU28" s="476"/>
      <c r="AV28" s="476"/>
      <c r="AW28" s="476"/>
    </row>
    <row r="29" spans="1:49" ht="89.25" x14ac:dyDescent="0.25">
      <c r="A29" s="406" t="s">
        <v>2030</v>
      </c>
      <c r="B29" s="481" t="s">
        <v>1647</v>
      </c>
      <c r="C29" s="487">
        <v>0</v>
      </c>
      <c r="D29" s="481">
        <v>1</v>
      </c>
      <c r="E29" s="481"/>
      <c r="F29" s="481"/>
      <c r="G29" s="481">
        <v>1</v>
      </c>
      <c r="H29" s="481"/>
      <c r="I29" s="486"/>
      <c r="J29" s="486"/>
      <c r="K29" s="496" t="e">
        <f t="shared" si="18"/>
        <v>#DIV/0!</v>
      </c>
      <c r="L29" s="496">
        <f t="shared" si="19"/>
        <v>1</v>
      </c>
      <c r="M29" s="496" t="e">
        <f t="shared" si="20"/>
        <v>#DIV/0!</v>
      </c>
      <c r="N29" s="401"/>
      <c r="O29" s="401"/>
      <c r="P29" s="401"/>
      <c r="Q29" s="401"/>
      <c r="R29" s="401"/>
      <c r="S29" s="401"/>
      <c r="T29" s="401"/>
      <c r="U29" s="401"/>
      <c r="V29" s="401"/>
      <c r="W29" s="401"/>
      <c r="X29" s="481">
        <v>1</v>
      </c>
      <c r="Y29" s="481">
        <f t="shared" si="21"/>
        <v>1</v>
      </c>
      <c r="Z29" s="486">
        <f t="shared" si="22"/>
        <v>1</v>
      </c>
      <c r="AA29" s="496">
        <v>0.14000000000000001</v>
      </c>
      <c r="AB29" s="496">
        <v>0.14000000000000001</v>
      </c>
      <c r="AC29" s="583">
        <v>0.17499999999999999</v>
      </c>
      <c r="AD29" s="402"/>
      <c r="AE29" s="402"/>
      <c r="AF29" s="496"/>
      <c r="AG29" s="402"/>
      <c r="AH29" s="496">
        <f t="shared" si="5"/>
        <v>0</v>
      </c>
      <c r="AI29" s="888">
        <f t="shared" si="6"/>
        <v>0</v>
      </c>
      <c r="AJ29" s="402"/>
      <c r="AK29" s="402"/>
      <c r="AL29" s="402"/>
      <c r="AM29" s="402"/>
      <c r="AN29" s="402" t="e">
        <f t="shared" si="3"/>
        <v>#DIV/0!</v>
      </c>
      <c r="AO29" s="402"/>
      <c r="AP29" s="402"/>
      <c r="AQ29" s="496"/>
      <c r="AR29" s="403"/>
      <c r="AS29" s="475"/>
      <c r="AT29" s="474" t="s">
        <v>779</v>
      </c>
      <c r="AU29" s="476"/>
      <c r="AV29" s="476"/>
      <c r="AW29" s="476"/>
    </row>
    <row r="30" spans="1:49" ht="89.25" x14ac:dyDescent="0.25">
      <c r="A30" s="406" t="s">
        <v>2031</v>
      </c>
      <c r="B30" s="481" t="s">
        <v>1646</v>
      </c>
      <c r="C30" s="486">
        <v>0</v>
      </c>
      <c r="D30" s="486">
        <v>0.1</v>
      </c>
      <c r="E30" s="486">
        <v>0.45</v>
      </c>
      <c r="F30" s="481"/>
      <c r="G30" s="486">
        <v>0.1</v>
      </c>
      <c r="H30" s="486">
        <v>0.45</v>
      </c>
      <c r="I30" s="481"/>
      <c r="J30" s="481"/>
      <c r="K30" s="496" t="e">
        <f t="shared" si="18"/>
        <v>#DIV/0!</v>
      </c>
      <c r="L30" s="496">
        <f t="shared" si="19"/>
        <v>1</v>
      </c>
      <c r="M30" s="496">
        <f t="shared" si="20"/>
        <v>1</v>
      </c>
      <c r="N30" s="401"/>
      <c r="O30" s="401"/>
      <c r="P30" s="401"/>
      <c r="Q30" s="401"/>
      <c r="R30" s="401"/>
      <c r="S30" s="401"/>
      <c r="T30" s="401"/>
      <c r="U30" s="401"/>
      <c r="V30" s="401"/>
      <c r="W30" s="401"/>
      <c r="X30" s="486">
        <v>1</v>
      </c>
      <c r="Y30" s="486">
        <f t="shared" si="21"/>
        <v>0.55000000000000004</v>
      </c>
      <c r="Z30" s="486">
        <f t="shared" si="22"/>
        <v>0.55000000000000004</v>
      </c>
      <c r="AA30" s="496">
        <v>0.16</v>
      </c>
      <c r="AB30" s="496">
        <v>0.16</v>
      </c>
      <c r="AC30" s="496">
        <v>0</v>
      </c>
      <c r="AD30" s="402"/>
      <c r="AE30" s="402"/>
      <c r="AF30" s="496"/>
      <c r="AG30" s="402"/>
      <c r="AH30" s="496">
        <f t="shared" si="5"/>
        <v>0</v>
      </c>
      <c r="AI30" s="888">
        <f t="shared" si="6"/>
        <v>0</v>
      </c>
      <c r="AJ30" s="402"/>
      <c r="AK30" s="402"/>
      <c r="AL30" s="402"/>
      <c r="AM30" s="402"/>
      <c r="AN30" s="402" t="e">
        <f t="shared" si="3"/>
        <v>#DIV/0!</v>
      </c>
      <c r="AO30" s="402"/>
      <c r="AP30" s="402"/>
      <c r="AQ30" s="496"/>
      <c r="AR30" s="403"/>
      <c r="AS30" s="475"/>
      <c r="AT30" s="474" t="s">
        <v>779</v>
      </c>
      <c r="AU30" s="476"/>
      <c r="AV30" s="476"/>
      <c r="AW30" s="476"/>
    </row>
    <row r="31" spans="1:49" ht="76.5" x14ac:dyDescent="0.25">
      <c r="A31" s="555" t="s">
        <v>1515</v>
      </c>
      <c r="B31" s="554" t="s">
        <v>1724</v>
      </c>
      <c r="C31" s="548"/>
      <c r="D31" s="548"/>
      <c r="E31" s="548"/>
      <c r="F31" s="548"/>
      <c r="G31" s="548"/>
      <c r="H31" s="548"/>
      <c r="I31" s="548"/>
      <c r="J31" s="548"/>
      <c r="K31" s="549">
        <f>K32</f>
        <v>1</v>
      </c>
      <c r="L31" s="549">
        <f>+SUMPRODUCT(L32:L33,AB32:AB33)</f>
        <v>1</v>
      </c>
      <c r="M31" s="549">
        <f>+SUMPRODUCT(M32:M33,AC32:AC33)</f>
        <v>0.83333333333333326</v>
      </c>
      <c r="N31" s="570"/>
      <c r="O31" s="570"/>
      <c r="P31" s="570"/>
      <c r="Q31" s="570"/>
      <c r="R31" s="570"/>
      <c r="S31" s="570"/>
      <c r="T31" s="570"/>
      <c r="U31" s="570"/>
      <c r="V31" s="570"/>
      <c r="W31" s="570"/>
      <c r="X31" s="548">
        <v>1</v>
      </c>
      <c r="Y31" s="548"/>
      <c r="Z31" s="549">
        <f>+SUMPRODUCT(Z32:Z33,AA32:AA33)</f>
        <v>0.65277777777777779</v>
      </c>
      <c r="AA31" s="549">
        <v>0.17</v>
      </c>
      <c r="AB31" s="549">
        <v>0.17</v>
      </c>
      <c r="AC31" s="549">
        <v>0.17</v>
      </c>
      <c r="AD31" s="571">
        <v>672891949</v>
      </c>
      <c r="AE31" s="570">
        <v>572000000</v>
      </c>
      <c r="AF31" s="548">
        <f>AE31/AD31</f>
        <v>0.85006218435227554</v>
      </c>
      <c r="AG31" s="570">
        <v>432000000</v>
      </c>
      <c r="AH31" s="548">
        <f t="shared" ref="AH31" si="23">+AG31/AD31</f>
        <v>0.64200500636395641</v>
      </c>
      <c r="AI31" s="886">
        <f>+AE31-AG31</f>
        <v>140000000</v>
      </c>
      <c r="AJ31" s="886">
        <v>3400000</v>
      </c>
      <c r="AK31" s="886">
        <v>3400000</v>
      </c>
      <c r="AL31" s="886">
        <v>62125000</v>
      </c>
      <c r="AM31" s="886">
        <v>62125000</v>
      </c>
      <c r="AN31" s="887">
        <f t="shared" si="3"/>
        <v>1</v>
      </c>
      <c r="AO31" s="570">
        <v>2474592402</v>
      </c>
      <c r="AP31" s="571">
        <v>1432550000</v>
      </c>
      <c r="AQ31" s="549">
        <f>AP31/AO31</f>
        <v>0.57890341813148427</v>
      </c>
      <c r="AR31" s="550"/>
      <c r="AS31" s="551" t="s">
        <v>1482</v>
      </c>
      <c r="AT31" s="552"/>
      <c r="AU31" s="553"/>
      <c r="AV31" s="553"/>
      <c r="AW31" s="553"/>
    </row>
    <row r="32" spans="1:49" ht="38.25" customHeight="1" x14ac:dyDescent="0.25">
      <c r="A32" s="400" t="s">
        <v>1516</v>
      </c>
      <c r="B32" s="481" t="s">
        <v>1641</v>
      </c>
      <c r="C32" s="481">
        <v>1</v>
      </c>
      <c r="D32" s="481">
        <v>1</v>
      </c>
      <c r="E32" s="481">
        <v>1</v>
      </c>
      <c r="F32" s="481">
        <v>1</v>
      </c>
      <c r="G32" s="481">
        <v>1</v>
      </c>
      <c r="H32" s="481">
        <v>1</v>
      </c>
      <c r="I32" s="481"/>
      <c r="J32" s="481"/>
      <c r="K32" s="496">
        <f t="shared" ref="K32:K33" si="24">IF(F32/C32&gt;=100%,100%,F32/C32)</f>
        <v>1</v>
      </c>
      <c r="L32" s="496">
        <f t="shared" ref="L32:L33" si="25">IF(G32/D32&gt;=100%,100%,G32/D32)</f>
        <v>1</v>
      </c>
      <c r="M32" s="496">
        <f t="shared" ref="M32:M33" si="26">IF(H32/E32&gt;=100%,100%,H32/E32)</f>
        <v>1</v>
      </c>
      <c r="N32" s="401"/>
      <c r="O32" s="401"/>
      <c r="P32" s="401"/>
      <c r="Q32" s="401"/>
      <c r="R32" s="401"/>
      <c r="S32" s="401"/>
      <c r="T32" s="401"/>
      <c r="U32" s="401"/>
      <c r="V32" s="401"/>
      <c r="W32" s="401"/>
      <c r="X32" s="481">
        <v>4</v>
      </c>
      <c r="Y32" s="481">
        <f>SUM(F32:H32)</f>
        <v>3</v>
      </c>
      <c r="Z32" s="486">
        <f t="shared" ref="Z32:Z33" si="27">IF(Y32/X32&gt;=100%,100%,Y32/X32)</f>
        <v>0.75</v>
      </c>
      <c r="AA32" s="496">
        <v>0.5</v>
      </c>
      <c r="AB32" s="496">
        <v>0.5</v>
      </c>
      <c r="AC32" s="496">
        <v>0.5</v>
      </c>
      <c r="AD32" s="402"/>
      <c r="AE32" s="402"/>
      <c r="AF32" s="496"/>
      <c r="AG32" s="402"/>
      <c r="AH32" s="496">
        <f t="shared" si="5"/>
        <v>0</v>
      </c>
      <c r="AI32" s="888">
        <f t="shared" si="6"/>
        <v>0</v>
      </c>
      <c r="AJ32" s="402"/>
      <c r="AK32" s="402"/>
      <c r="AL32" s="402"/>
      <c r="AM32" s="402"/>
      <c r="AN32" s="402" t="e">
        <f t="shared" si="3"/>
        <v>#DIV/0!</v>
      </c>
      <c r="AO32" s="402"/>
      <c r="AP32" s="402"/>
      <c r="AQ32" s="496"/>
      <c r="AR32" s="403"/>
      <c r="AS32" s="475"/>
      <c r="AT32" s="474"/>
      <c r="AU32" s="476"/>
      <c r="AV32" s="476"/>
      <c r="AW32" s="476"/>
    </row>
    <row r="33" spans="1:49" ht="38.25" x14ac:dyDescent="0.25">
      <c r="A33" s="404" t="s">
        <v>1517</v>
      </c>
      <c r="B33" s="481" t="s">
        <v>1723</v>
      </c>
      <c r="C33" s="487">
        <v>0</v>
      </c>
      <c r="D33" s="481">
        <v>3</v>
      </c>
      <c r="E33" s="481">
        <v>3</v>
      </c>
      <c r="F33" s="481"/>
      <c r="G33" s="481">
        <v>3</v>
      </c>
      <c r="H33" s="481">
        <v>2</v>
      </c>
      <c r="I33" s="481"/>
      <c r="J33" s="481"/>
      <c r="K33" s="496" t="e">
        <f t="shared" si="24"/>
        <v>#DIV/0!</v>
      </c>
      <c r="L33" s="496">
        <f t="shared" si="25"/>
        <v>1</v>
      </c>
      <c r="M33" s="496">
        <f t="shared" si="26"/>
        <v>0.66666666666666663</v>
      </c>
      <c r="N33" s="401"/>
      <c r="O33" s="401"/>
      <c r="P33" s="401"/>
      <c r="Q33" s="401"/>
      <c r="R33" s="401"/>
      <c r="S33" s="401"/>
      <c r="T33" s="401"/>
      <c r="U33" s="401"/>
      <c r="V33" s="401"/>
      <c r="W33" s="401"/>
      <c r="X33" s="481">
        <v>9</v>
      </c>
      <c r="Y33" s="481">
        <f>SUM(F33:H33)</f>
        <v>5</v>
      </c>
      <c r="Z33" s="486">
        <f t="shared" si="27"/>
        <v>0.55555555555555558</v>
      </c>
      <c r="AA33" s="496">
        <v>0.5</v>
      </c>
      <c r="AB33" s="496">
        <v>0.5</v>
      </c>
      <c r="AC33" s="496">
        <v>0.5</v>
      </c>
      <c r="AD33" s="402"/>
      <c r="AE33" s="402"/>
      <c r="AF33" s="496"/>
      <c r="AG33" s="402"/>
      <c r="AH33" s="496">
        <f t="shared" si="5"/>
        <v>0</v>
      </c>
      <c r="AI33" s="888">
        <f t="shared" si="6"/>
        <v>0</v>
      </c>
      <c r="AJ33" s="402"/>
      <c r="AK33" s="402"/>
      <c r="AL33" s="402"/>
      <c r="AM33" s="402"/>
      <c r="AN33" s="402" t="e">
        <f t="shared" si="3"/>
        <v>#DIV/0!</v>
      </c>
      <c r="AO33" s="402"/>
      <c r="AP33" s="402"/>
      <c r="AQ33" s="496"/>
      <c r="AR33" s="403"/>
      <c r="AS33" s="475"/>
      <c r="AT33" s="474"/>
      <c r="AU33" s="476"/>
      <c r="AV33" s="476"/>
      <c r="AW33" s="476"/>
    </row>
    <row r="34" spans="1:49" ht="76.5" x14ac:dyDescent="0.25">
      <c r="A34" s="555" t="s">
        <v>1518</v>
      </c>
      <c r="B34" s="554" t="s">
        <v>1724</v>
      </c>
      <c r="C34" s="548"/>
      <c r="D34" s="548"/>
      <c r="E34" s="548"/>
      <c r="F34" s="548"/>
      <c r="G34" s="548"/>
      <c r="H34" s="548"/>
      <c r="I34" s="548"/>
      <c r="J34" s="548"/>
      <c r="K34" s="549">
        <f>+(K35*25%)+(K37*25%)+(K38*25%)+(K39*25%)</f>
        <v>0.998</v>
      </c>
      <c r="L34" s="549">
        <f>+SUMPRODUCT(L35:L40,AB35:AB40)</f>
        <v>1</v>
      </c>
      <c r="M34" s="549">
        <f>+(M36*AC36)+(M37*AC37)+(M38*AC38)+(M39*AC39)</f>
        <v>1</v>
      </c>
      <c r="N34" s="570"/>
      <c r="O34" s="570"/>
      <c r="P34" s="570"/>
      <c r="Q34" s="570"/>
      <c r="R34" s="570"/>
      <c r="S34" s="570"/>
      <c r="T34" s="570"/>
      <c r="U34" s="570"/>
      <c r="V34" s="570"/>
      <c r="W34" s="570"/>
      <c r="X34" s="548">
        <v>1</v>
      </c>
      <c r="Y34" s="548"/>
      <c r="Z34" s="549">
        <f>+SUMPRODUCT(Z35:Z40,AA35:AA40)</f>
        <v>0.8119319047619048</v>
      </c>
      <c r="AA34" s="549">
        <v>0.16</v>
      </c>
      <c r="AB34" s="549">
        <v>0.16</v>
      </c>
      <c r="AC34" s="549">
        <v>0.16</v>
      </c>
      <c r="AD34" s="571">
        <v>50000000</v>
      </c>
      <c r="AE34" s="570">
        <v>0</v>
      </c>
      <c r="AF34" s="548">
        <f>AE34/AD34</f>
        <v>0</v>
      </c>
      <c r="AG34" s="570">
        <v>0</v>
      </c>
      <c r="AH34" s="548">
        <f t="shared" ref="AH34" si="28">+AG34/AD34</f>
        <v>0</v>
      </c>
      <c r="AI34" s="886">
        <f>+AE34-AG34</f>
        <v>0</v>
      </c>
      <c r="AJ34" s="886">
        <v>0</v>
      </c>
      <c r="AK34" s="886">
        <v>0</v>
      </c>
      <c r="AL34" s="886">
        <v>23300000</v>
      </c>
      <c r="AM34" s="886">
        <v>23300000</v>
      </c>
      <c r="AN34" s="887">
        <f t="shared" si="3"/>
        <v>1</v>
      </c>
      <c r="AO34" s="570">
        <v>125000000</v>
      </c>
      <c r="AP34" s="571">
        <v>43200000</v>
      </c>
      <c r="AQ34" s="549">
        <f>AP34/AO34</f>
        <v>0.34560000000000002</v>
      </c>
      <c r="AR34" s="550"/>
      <c r="AS34" s="551" t="s">
        <v>1482</v>
      </c>
      <c r="AT34" s="552"/>
      <c r="AU34" s="553"/>
      <c r="AV34" s="553"/>
      <c r="AW34" s="553"/>
    </row>
    <row r="35" spans="1:49" ht="38.25" x14ac:dyDescent="0.25">
      <c r="A35" s="400" t="s">
        <v>1519</v>
      </c>
      <c r="B35" s="483" t="s">
        <v>1656</v>
      </c>
      <c r="C35" s="488">
        <v>0.2</v>
      </c>
      <c r="D35" s="488">
        <v>0.8</v>
      </c>
      <c r="E35" s="488">
        <v>0</v>
      </c>
      <c r="F35" s="488">
        <v>0.2</v>
      </c>
      <c r="G35" s="488">
        <v>0.8</v>
      </c>
      <c r="H35" s="488">
        <v>0</v>
      </c>
      <c r="I35" s="488"/>
      <c r="J35" s="488"/>
      <c r="K35" s="496">
        <f t="shared" ref="K35:K40" si="29">IF(F35/C35&gt;=100%,100%,F35/C35)</f>
        <v>1</v>
      </c>
      <c r="L35" s="496">
        <f t="shared" ref="L35:L40" si="30">IF(G35/D35&gt;=100%,100%,G35/D35)</f>
        <v>1</v>
      </c>
      <c r="M35" s="496" t="e">
        <f t="shared" ref="M35:M40" si="31">IF(H35/E35&gt;=100%,100%,H35/E35)</f>
        <v>#DIV/0!</v>
      </c>
      <c r="N35" s="407"/>
      <c r="O35" s="407"/>
      <c r="P35" s="407"/>
      <c r="Q35" s="407"/>
      <c r="R35" s="407"/>
      <c r="S35" s="407"/>
      <c r="T35" s="407"/>
      <c r="U35" s="407"/>
      <c r="V35" s="407"/>
      <c r="W35" s="407"/>
      <c r="X35" s="488">
        <v>1</v>
      </c>
      <c r="Y35" s="488">
        <f>SUM(F35:H35)</f>
        <v>1</v>
      </c>
      <c r="Z35" s="488">
        <f t="shared" ref="Z35:Z48" si="32">IF(Y35/X35&gt;=100%,100%,Y35/X35)</f>
        <v>1</v>
      </c>
      <c r="AA35" s="497">
        <v>0.17</v>
      </c>
      <c r="AB35" s="497">
        <v>0.17</v>
      </c>
      <c r="AC35" s="497">
        <v>0</v>
      </c>
      <c r="AD35" s="408"/>
      <c r="AE35" s="408"/>
      <c r="AF35" s="497"/>
      <c r="AG35" s="408"/>
      <c r="AH35" s="497">
        <f t="shared" si="5"/>
        <v>0</v>
      </c>
      <c r="AI35" s="888">
        <f t="shared" si="6"/>
        <v>0</v>
      </c>
      <c r="AJ35" s="408"/>
      <c r="AK35" s="408"/>
      <c r="AL35" s="408"/>
      <c r="AM35" s="408"/>
      <c r="AN35" s="408" t="e">
        <f t="shared" si="3"/>
        <v>#DIV/0!</v>
      </c>
      <c r="AO35" s="408"/>
      <c r="AP35" s="408"/>
      <c r="AQ35" s="497"/>
      <c r="AR35" s="409"/>
      <c r="AS35" s="475"/>
      <c r="AT35" s="474"/>
      <c r="AU35" s="476"/>
      <c r="AV35" s="476"/>
      <c r="AW35" s="476"/>
    </row>
    <row r="36" spans="1:49" ht="76.5" x14ac:dyDescent="0.25">
      <c r="A36" s="400" t="s">
        <v>1520</v>
      </c>
      <c r="B36" s="483" t="s">
        <v>1655</v>
      </c>
      <c r="C36" s="487">
        <v>0</v>
      </c>
      <c r="D36" s="488">
        <v>1</v>
      </c>
      <c r="E36" s="488">
        <v>1</v>
      </c>
      <c r="F36" s="483"/>
      <c r="G36" s="488">
        <v>1</v>
      </c>
      <c r="H36" s="488">
        <v>1</v>
      </c>
      <c r="I36" s="483"/>
      <c r="J36" s="483"/>
      <c r="K36" s="496" t="e">
        <f t="shared" si="29"/>
        <v>#DIV/0!</v>
      </c>
      <c r="L36" s="496">
        <f t="shared" si="30"/>
        <v>1</v>
      </c>
      <c r="M36" s="496">
        <f t="shared" si="31"/>
        <v>1</v>
      </c>
      <c r="N36" s="407"/>
      <c r="O36" s="407"/>
      <c r="P36" s="407"/>
      <c r="Q36" s="407"/>
      <c r="R36" s="407"/>
      <c r="S36" s="407"/>
      <c r="T36" s="407"/>
      <c r="U36" s="407"/>
      <c r="V36" s="407"/>
      <c r="W36" s="407"/>
      <c r="X36" s="488">
        <v>1</v>
      </c>
      <c r="Y36" s="488">
        <f>SUM(F36:H36)/3</f>
        <v>0.66666666666666663</v>
      </c>
      <c r="Z36" s="488">
        <f t="shared" si="32"/>
        <v>0.66666666666666663</v>
      </c>
      <c r="AA36" s="497">
        <v>0.17</v>
      </c>
      <c r="AB36" s="497">
        <v>0.17</v>
      </c>
      <c r="AC36" s="497">
        <v>0.25</v>
      </c>
      <c r="AD36" s="408"/>
      <c r="AE36" s="408"/>
      <c r="AF36" s="497"/>
      <c r="AG36" s="408"/>
      <c r="AH36" s="497">
        <f t="shared" si="5"/>
        <v>0</v>
      </c>
      <c r="AI36" s="888">
        <f t="shared" si="6"/>
        <v>0</v>
      </c>
      <c r="AJ36" s="408"/>
      <c r="AK36" s="408"/>
      <c r="AL36" s="408"/>
      <c r="AM36" s="408"/>
      <c r="AN36" s="408" t="e">
        <f t="shared" si="3"/>
        <v>#DIV/0!</v>
      </c>
      <c r="AO36" s="408"/>
      <c r="AP36" s="408"/>
      <c r="AQ36" s="497"/>
      <c r="AR36" s="409"/>
      <c r="AS36" s="475"/>
      <c r="AT36" s="474" t="s">
        <v>704</v>
      </c>
      <c r="AU36" s="476"/>
      <c r="AV36" s="476"/>
      <c r="AW36" s="476"/>
    </row>
    <row r="37" spans="1:49" ht="102" x14ac:dyDescent="0.25">
      <c r="A37" s="400" t="s">
        <v>1521</v>
      </c>
      <c r="B37" s="483" t="s">
        <v>1652</v>
      </c>
      <c r="C37" s="483">
        <v>2</v>
      </c>
      <c r="D37" s="483">
        <v>4</v>
      </c>
      <c r="E37" s="483">
        <v>4</v>
      </c>
      <c r="F37" s="483">
        <v>2</v>
      </c>
      <c r="G37" s="483">
        <v>4</v>
      </c>
      <c r="H37" s="483">
        <v>4</v>
      </c>
      <c r="I37" s="483"/>
      <c r="J37" s="483"/>
      <c r="K37" s="496">
        <f t="shared" si="29"/>
        <v>1</v>
      </c>
      <c r="L37" s="496">
        <f t="shared" si="30"/>
        <v>1</v>
      </c>
      <c r="M37" s="496">
        <f t="shared" si="31"/>
        <v>1</v>
      </c>
      <c r="N37" s="407"/>
      <c r="O37" s="407"/>
      <c r="P37" s="407"/>
      <c r="Q37" s="407"/>
      <c r="R37" s="407"/>
      <c r="S37" s="407"/>
      <c r="T37" s="407"/>
      <c r="U37" s="407"/>
      <c r="V37" s="407"/>
      <c r="W37" s="407"/>
      <c r="X37" s="483">
        <v>14</v>
      </c>
      <c r="Y37" s="481">
        <f>SUM(F37:H37)</f>
        <v>10</v>
      </c>
      <c r="Z37" s="488">
        <f t="shared" si="32"/>
        <v>0.7142857142857143</v>
      </c>
      <c r="AA37" s="497">
        <v>0.17</v>
      </c>
      <c r="AB37" s="497">
        <v>0.17</v>
      </c>
      <c r="AC37" s="497">
        <v>0.25</v>
      </c>
      <c r="AD37" s="408"/>
      <c r="AE37" s="408"/>
      <c r="AF37" s="497"/>
      <c r="AG37" s="408"/>
      <c r="AH37" s="497">
        <f t="shared" si="5"/>
        <v>0</v>
      </c>
      <c r="AI37" s="888">
        <f t="shared" si="6"/>
        <v>0</v>
      </c>
      <c r="AJ37" s="408"/>
      <c r="AK37" s="408"/>
      <c r="AL37" s="408"/>
      <c r="AM37" s="408"/>
      <c r="AN37" s="408" t="e">
        <f t="shared" si="3"/>
        <v>#DIV/0!</v>
      </c>
      <c r="AO37" s="408"/>
      <c r="AP37" s="408"/>
      <c r="AQ37" s="497"/>
      <c r="AR37" s="409"/>
      <c r="AS37" s="475"/>
      <c r="AT37" s="474" t="s">
        <v>655</v>
      </c>
      <c r="AU37" s="476"/>
      <c r="AV37" s="476"/>
      <c r="AW37" s="476"/>
    </row>
    <row r="38" spans="1:49" ht="76.5" x14ac:dyDescent="0.25">
      <c r="A38" s="400" t="s">
        <v>1522</v>
      </c>
      <c r="B38" s="481" t="s">
        <v>1654</v>
      </c>
      <c r="C38" s="486">
        <v>1</v>
      </c>
      <c r="D38" s="486">
        <v>1</v>
      </c>
      <c r="E38" s="486">
        <v>1</v>
      </c>
      <c r="F38" s="520">
        <v>0.996</v>
      </c>
      <c r="G38" s="486">
        <v>1</v>
      </c>
      <c r="H38" s="486">
        <v>1</v>
      </c>
      <c r="I38" s="520"/>
      <c r="J38" s="520"/>
      <c r="K38" s="496">
        <f t="shared" si="29"/>
        <v>0.996</v>
      </c>
      <c r="L38" s="496">
        <f t="shared" si="30"/>
        <v>1</v>
      </c>
      <c r="M38" s="496">
        <f t="shared" si="31"/>
        <v>1</v>
      </c>
      <c r="N38" s="401"/>
      <c r="O38" s="401"/>
      <c r="P38" s="401"/>
      <c r="Q38" s="401"/>
      <c r="R38" s="401"/>
      <c r="S38" s="401"/>
      <c r="T38" s="401"/>
      <c r="U38" s="401"/>
      <c r="V38" s="401"/>
      <c r="W38" s="401"/>
      <c r="X38" s="488">
        <v>1</v>
      </c>
      <c r="Y38" s="486">
        <f>SUM(F38:H38)/4</f>
        <v>0.749</v>
      </c>
      <c r="Z38" s="486">
        <f t="shared" si="32"/>
        <v>0.749</v>
      </c>
      <c r="AA38" s="496">
        <v>0.17</v>
      </c>
      <c r="AB38" s="496">
        <v>0.17</v>
      </c>
      <c r="AC38" s="496">
        <v>0.25</v>
      </c>
      <c r="AD38" s="402"/>
      <c r="AE38" s="402"/>
      <c r="AF38" s="496"/>
      <c r="AG38" s="402"/>
      <c r="AH38" s="496">
        <f t="shared" si="5"/>
        <v>0</v>
      </c>
      <c r="AI38" s="888">
        <f t="shared" si="6"/>
        <v>0</v>
      </c>
      <c r="AJ38" s="402"/>
      <c r="AK38" s="402"/>
      <c r="AL38" s="402"/>
      <c r="AM38" s="402"/>
      <c r="AN38" s="402" t="e">
        <f t="shared" si="3"/>
        <v>#DIV/0!</v>
      </c>
      <c r="AO38" s="402"/>
      <c r="AP38" s="402"/>
      <c r="AQ38" s="496"/>
      <c r="AR38" s="403"/>
      <c r="AS38" s="475"/>
      <c r="AT38" s="474" t="s">
        <v>704</v>
      </c>
      <c r="AU38" s="476"/>
      <c r="AV38" s="476"/>
      <c r="AW38" s="476"/>
    </row>
    <row r="39" spans="1:49" ht="76.5" x14ac:dyDescent="0.25">
      <c r="A39" s="400" t="s">
        <v>1523</v>
      </c>
      <c r="B39" s="481" t="s">
        <v>1657</v>
      </c>
      <c r="C39" s="486">
        <v>1</v>
      </c>
      <c r="D39" s="486">
        <v>1</v>
      </c>
      <c r="E39" s="486">
        <v>1</v>
      </c>
      <c r="F39" s="520">
        <v>0.996</v>
      </c>
      <c r="G39" s="486">
        <v>1</v>
      </c>
      <c r="H39" s="486">
        <v>1</v>
      </c>
      <c r="I39" s="520"/>
      <c r="J39" s="520"/>
      <c r="K39" s="496">
        <f t="shared" si="29"/>
        <v>0.996</v>
      </c>
      <c r="L39" s="496">
        <f t="shared" si="30"/>
        <v>1</v>
      </c>
      <c r="M39" s="496">
        <f t="shared" si="31"/>
        <v>1</v>
      </c>
      <c r="N39" s="401"/>
      <c r="O39" s="401"/>
      <c r="P39" s="401"/>
      <c r="Q39" s="401"/>
      <c r="R39" s="401"/>
      <c r="S39" s="401"/>
      <c r="T39" s="401"/>
      <c r="U39" s="401"/>
      <c r="V39" s="401"/>
      <c r="W39" s="401"/>
      <c r="X39" s="486">
        <v>1</v>
      </c>
      <c r="Y39" s="486">
        <f>SUM(F39:H39)/4</f>
        <v>0.749</v>
      </c>
      <c r="Z39" s="486">
        <f t="shared" si="32"/>
        <v>0.749</v>
      </c>
      <c r="AA39" s="496">
        <v>0.16</v>
      </c>
      <c r="AB39" s="496">
        <v>0.16</v>
      </c>
      <c r="AC39" s="496">
        <v>0.25</v>
      </c>
      <c r="AD39" s="402"/>
      <c r="AE39" s="402"/>
      <c r="AF39" s="496"/>
      <c r="AG39" s="402"/>
      <c r="AH39" s="496">
        <f t="shared" si="5"/>
        <v>0</v>
      </c>
      <c r="AI39" s="888">
        <f t="shared" si="6"/>
        <v>0</v>
      </c>
      <c r="AJ39" s="402"/>
      <c r="AK39" s="402"/>
      <c r="AL39" s="402"/>
      <c r="AM39" s="402"/>
      <c r="AN39" s="402" t="e">
        <f t="shared" si="3"/>
        <v>#DIV/0!</v>
      </c>
      <c r="AO39" s="402"/>
      <c r="AP39" s="402"/>
      <c r="AQ39" s="496"/>
      <c r="AR39" s="403"/>
      <c r="AS39" s="475"/>
      <c r="AT39" s="474" t="s">
        <v>704</v>
      </c>
      <c r="AU39" s="476"/>
      <c r="AV39" s="476"/>
      <c r="AW39" s="476"/>
    </row>
    <row r="40" spans="1:49" ht="102" x14ac:dyDescent="0.25">
      <c r="A40" s="400" t="s">
        <v>1524</v>
      </c>
      <c r="B40" s="481" t="s">
        <v>1653</v>
      </c>
      <c r="C40" s="487">
        <v>0</v>
      </c>
      <c r="D40" s="483">
        <v>1</v>
      </c>
      <c r="E40" s="483"/>
      <c r="F40" s="481"/>
      <c r="G40" s="481">
        <v>1</v>
      </c>
      <c r="H40" s="481"/>
      <c r="I40" s="481"/>
      <c r="J40" s="481"/>
      <c r="K40" s="496" t="e">
        <f t="shared" si="29"/>
        <v>#DIV/0!</v>
      </c>
      <c r="L40" s="496">
        <f t="shared" si="30"/>
        <v>1</v>
      </c>
      <c r="M40" s="496" t="e">
        <f t="shared" si="31"/>
        <v>#DIV/0!</v>
      </c>
      <c r="N40" s="401"/>
      <c r="O40" s="401"/>
      <c r="P40" s="401"/>
      <c r="Q40" s="401"/>
      <c r="R40" s="401"/>
      <c r="S40" s="401"/>
      <c r="T40" s="401"/>
      <c r="U40" s="401"/>
      <c r="V40" s="401"/>
      <c r="W40" s="401"/>
      <c r="X40" s="481">
        <v>1</v>
      </c>
      <c r="Y40" s="481">
        <f>SUM(F40:H40)</f>
        <v>1</v>
      </c>
      <c r="Z40" s="486">
        <f t="shared" si="32"/>
        <v>1</v>
      </c>
      <c r="AA40" s="496">
        <v>0.16</v>
      </c>
      <c r="AB40" s="496">
        <v>0.16</v>
      </c>
      <c r="AC40" s="496">
        <v>0</v>
      </c>
      <c r="AD40" s="402"/>
      <c r="AE40" s="402"/>
      <c r="AF40" s="496"/>
      <c r="AG40" s="402"/>
      <c r="AH40" s="496">
        <f t="shared" si="5"/>
        <v>0</v>
      </c>
      <c r="AI40" s="888">
        <f t="shared" si="6"/>
        <v>0</v>
      </c>
      <c r="AJ40" s="402"/>
      <c r="AK40" s="402"/>
      <c r="AL40" s="402"/>
      <c r="AM40" s="402"/>
      <c r="AN40" s="402" t="e">
        <f t="shared" si="3"/>
        <v>#DIV/0!</v>
      </c>
      <c r="AO40" s="402"/>
      <c r="AP40" s="402"/>
      <c r="AQ40" s="496"/>
      <c r="AR40" s="403"/>
      <c r="AS40" s="475"/>
      <c r="AT40" s="474" t="s">
        <v>655</v>
      </c>
      <c r="AU40" s="476"/>
      <c r="AV40" s="476"/>
      <c r="AW40" s="476"/>
    </row>
    <row r="41" spans="1:49" ht="76.5" x14ac:dyDescent="0.25">
      <c r="A41" s="555" t="s">
        <v>1525</v>
      </c>
      <c r="B41" s="554" t="s">
        <v>1724</v>
      </c>
      <c r="C41" s="548"/>
      <c r="D41" s="548"/>
      <c r="E41" s="548"/>
      <c r="F41" s="548"/>
      <c r="G41" s="548"/>
      <c r="H41" s="548"/>
      <c r="I41" s="548"/>
      <c r="J41" s="548"/>
      <c r="K41" s="549">
        <f>+(K42*16%)+(K43*17%)+(K44*17%)+(K45*17%)+(K46*16%)+(K47*17%)</f>
        <v>0.7249000000000001</v>
      </c>
      <c r="L41" s="549">
        <f>+SUMPRODUCT(L42:L48,AB42:AB48)</f>
        <v>0.65140000000000009</v>
      </c>
      <c r="M41" s="549">
        <f>+SUMPRODUCT(M42:M48,AC42:AC48)</f>
        <v>0.79700000000000015</v>
      </c>
      <c r="N41" s="570"/>
      <c r="O41" s="570"/>
      <c r="P41" s="570"/>
      <c r="Q41" s="570"/>
      <c r="R41" s="570"/>
      <c r="S41" s="570"/>
      <c r="T41" s="570"/>
      <c r="U41" s="570"/>
      <c r="V41" s="570"/>
      <c r="W41" s="570"/>
      <c r="X41" s="548">
        <v>1</v>
      </c>
      <c r="Y41" s="548"/>
      <c r="Z41" s="549">
        <f>+SUMPRODUCT(Z42:Z48,AA42:AA48)</f>
        <v>0.54010000000000002</v>
      </c>
      <c r="AA41" s="549">
        <v>0.17</v>
      </c>
      <c r="AB41" s="549">
        <v>0.17</v>
      </c>
      <c r="AC41" s="549">
        <v>0.17</v>
      </c>
      <c r="AD41" s="571">
        <v>4566522000</v>
      </c>
      <c r="AE41" s="570">
        <v>3539063199</v>
      </c>
      <c r="AF41" s="548">
        <f>AE41/AD41</f>
        <v>0.77500189400160557</v>
      </c>
      <c r="AG41" s="570">
        <v>3432337210</v>
      </c>
      <c r="AH41" s="548">
        <f t="shared" ref="AH41" si="33">+AG41/AD41</f>
        <v>0.75163049909756263</v>
      </c>
      <c r="AI41" s="886">
        <f>+AE41-AG41</f>
        <v>106725989</v>
      </c>
      <c r="AJ41" s="886">
        <f>405148257+6600000</f>
        <v>411748257</v>
      </c>
      <c r="AK41" s="886">
        <f>405148092+6600000</f>
        <v>411748092</v>
      </c>
      <c r="AL41" s="886">
        <f>750000+65733999</f>
        <v>66483999</v>
      </c>
      <c r="AM41" s="886">
        <v>59233333</v>
      </c>
      <c r="AN41" s="887">
        <f t="shared" si="3"/>
        <v>0.89094118721709259</v>
      </c>
      <c r="AO41" s="570">
        <v>10784258609</v>
      </c>
      <c r="AP41" s="571">
        <v>7289263975</v>
      </c>
      <c r="AQ41" s="549">
        <f>AP41/AO41</f>
        <v>0.67591702306885948</v>
      </c>
      <c r="AR41" s="550"/>
      <c r="AS41" s="551" t="s">
        <v>1482</v>
      </c>
      <c r="AT41" s="552"/>
      <c r="AU41" s="553"/>
      <c r="AV41" s="553"/>
      <c r="AW41" s="553"/>
    </row>
    <row r="42" spans="1:49" ht="51" x14ac:dyDescent="0.25">
      <c r="A42" s="400" t="s">
        <v>1526</v>
      </c>
      <c r="B42" s="481" t="s">
        <v>951</v>
      </c>
      <c r="C42" s="486">
        <v>1</v>
      </c>
      <c r="D42" s="486">
        <v>1</v>
      </c>
      <c r="E42" s="486">
        <v>1</v>
      </c>
      <c r="F42" s="486">
        <v>0.02</v>
      </c>
      <c r="G42" s="486">
        <v>0.27</v>
      </c>
      <c r="H42" s="486">
        <v>0.19</v>
      </c>
      <c r="I42" s="486"/>
      <c r="J42" s="486"/>
      <c r="K42" s="496">
        <f t="shared" ref="K42:K48" si="34">IF(F42/C42&gt;=100%,100%,F42/C42)</f>
        <v>0.02</v>
      </c>
      <c r="L42" s="496">
        <f t="shared" ref="L42:L48" si="35">IF(G42/D42&gt;=100%,100%,G42/D42)</f>
        <v>0.27</v>
      </c>
      <c r="M42" s="496">
        <f t="shared" ref="M42:M48" si="36">IF(H42/E42&gt;=100%,100%,H42/E42)</f>
        <v>0.19</v>
      </c>
      <c r="N42" s="401"/>
      <c r="O42" s="401"/>
      <c r="P42" s="401"/>
      <c r="Q42" s="401"/>
      <c r="R42" s="401"/>
      <c r="S42" s="401"/>
      <c r="T42" s="401"/>
      <c r="U42" s="401"/>
      <c r="V42" s="401"/>
      <c r="W42" s="401"/>
      <c r="X42" s="486">
        <v>1</v>
      </c>
      <c r="Y42" s="486">
        <f t="shared" ref="Y42:Y47" si="37">SUM(F42:H42)/4</f>
        <v>0.12000000000000001</v>
      </c>
      <c r="Z42" s="486">
        <f t="shared" si="32"/>
        <v>0.12000000000000001</v>
      </c>
      <c r="AA42" s="496">
        <v>0.14000000000000001</v>
      </c>
      <c r="AB42" s="496">
        <v>0.14000000000000001</v>
      </c>
      <c r="AC42" s="496">
        <v>0.14000000000000001</v>
      </c>
      <c r="AD42" s="402"/>
      <c r="AE42" s="402"/>
      <c r="AF42" s="496"/>
      <c r="AG42" s="402"/>
      <c r="AH42" s="496">
        <f t="shared" si="5"/>
        <v>0</v>
      </c>
      <c r="AI42" s="888">
        <f t="shared" si="6"/>
        <v>0</v>
      </c>
      <c r="AJ42" s="402"/>
      <c r="AK42" s="402"/>
      <c r="AL42" s="402"/>
      <c r="AM42" s="402"/>
      <c r="AN42" s="402" t="e">
        <f t="shared" si="3"/>
        <v>#DIV/0!</v>
      </c>
      <c r="AO42" s="402"/>
      <c r="AP42" s="402"/>
      <c r="AQ42" s="496"/>
      <c r="AR42" s="403"/>
      <c r="AS42" s="475"/>
      <c r="AT42" s="474"/>
      <c r="AU42" s="476"/>
      <c r="AV42" s="476"/>
      <c r="AW42" s="476"/>
    </row>
    <row r="43" spans="1:49" ht="114.75" x14ac:dyDescent="0.25">
      <c r="A43" s="400" t="s">
        <v>1527</v>
      </c>
      <c r="B43" s="481" t="s">
        <v>1659</v>
      </c>
      <c r="C43" s="486">
        <v>1</v>
      </c>
      <c r="D43" s="486">
        <v>1</v>
      </c>
      <c r="E43" s="486">
        <v>1</v>
      </c>
      <c r="F43" s="486">
        <v>1</v>
      </c>
      <c r="G43" s="486">
        <v>0.69</v>
      </c>
      <c r="H43" s="486">
        <v>0.55000000000000004</v>
      </c>
      <c r="I43" s="486"/>
      <c r="J43" s="486"/>
      <c r="K43" s="496">
        <f t="shared" si="34"/>
        <v>1</v>
      </c>
      <c r="L43" s="496">
        <f t="shared" si="35"/>
        <v>0.69</v>
      </c>
      <c r="M43" s="496">
        <f t="shared" si="36"/>
        <v>0.55000000000000004</v>
      </c>
      <c r="N43" s="401"/>
      <c r="O43" s="401"/>
      <c r="P43" s="401"/>
      <c r="Q43" s="401"/>
      <c r="R43" s="401"/>
      <c r="S43" s="401"/>
      <c r="T43" s="401"/>
      <c r="U43" s="401"/>
      <c r="V43" s="401"/>
      <c r="W43" s="401"/>
      <c r="X43" s="486">
        <v>1</v>
      </c>
      <c r="Y43" s="486">
        <f t="shared" si="37"/>
        <v>0.56000000000000005</v>
      </c>
      <c r="Z43" s="486">
        <f t="shared" si="32"/>
        <v>0.56000000000000005</v>
      </c>
      <c r="AA43" s="496">
        <v>0.14000000000000001</v>
      </c>
      <c r="AB43" s="496">
        <v>0.14000000000000001</v>
      </c>
      <c r="AC43" s="496">
        <v>0.14000000000000001</v>
      </c>
      <c r="AD43" s="402"/>
      <c r="AE43" s="402"/>
      <c r="AF43" s="496"/>
      <c r="AG43" s="402"/>
      <c r="AH43" s="496">
        <f t="shared" si="5"/>
        <v>0</v>
      </c>
      <c r="AI43" s="888">
        <f t="shared" si="6"/>
        <v>0</v>
      </c>
      <c r="AJ43" s="402"/>
      <c r="AK43" s="402"/>
      <c r="AL43" s="402"/>
      <c r="AM43" s="402"/>
      <c r="AN43" s="402" t="e">
        <f t="shared" si="3"/>
        <v>#DIV/0!</v>
      </c>
      <c r="AO43" s="402"/>
      <c r="AP43" s="402"/>
      <c r="AQ43" s="496"/>
      <c r="AR43" s="403"/>
      <c r="AS43" s="475"/>
      <c r="AT43" s="474" t="s">
        <v>951</v>
      </c>
      <c r="AU43" s="476"/>
      <c r="AV43" s="476"/>
      <c r="AW43" s="476"/>
    </row>
    <row r="44" spans="1:49" ht="51" x14ac:dyDescent="0.25">
      <c r="A44" s="400" t="s">
        <v>1528</v>
      </c>
      <c r="B44" s="481" t="s">
        <v>1660</v>
      </c>
      <c r="C44" s="486">
        <v>1</v>
      </c>
      <c r="D44" s="486">
        <v>1</v>
      </c>
      <c r="E44" s="486">
        <v>1</v>
      </c>
      <c r="F44" s="486">
        <v>0.69</v>
      </c>
      <c r="G44" s="486">
        <v>0.35</v>
      </c>
      <c r="H44" s="486">
        <v>0.92</v>
      </c>
      <c r="I44" s="486"/>
      <c r="J44" s="486"/>
      <c r="K44" s="496">
        <f t="shared" si="34"/>
        <v>0.69</v>
      </c>
      <c r="L44" s="496">
        <f t="shared" si="35"/>
        <v>0.35</v>
      </c>
      <c r="M44" s="496">
        <f t="shared" si="36"/>
        <v>0.92</v>
      </c>
      <c r="N44" s="401"/>
      <c r="O44" s="401"/>
      <c r="P44" s="401"/>
      <c r="Q44" s="401"/>
      <c r="R44" s="401"/>
      <c r="S44" s="401"/>
      <c r="T44" s="401"/>
      <c r="U44" s="401"/>
      <c r="V44" s="401"/>
      <c r="W44" s="401"/>
      <c r="X44" s="486">
        <v>1</v>
      </c>
      <c r="Y44" s="486">
        <f t="shared" si="37"/>
        <v>0.49</v>
      </c>
      <c r="Z44" s="486">
        <f t="shared" si="32"/>
        <v>0.49</v>
      </c>
      <c r="AA44" s="496">
        <v>0.14000000000000001</v>
      </c>
      <c r="AB44" s="496">
        <v>0.14000000000000001</v>
      </c>
      <c r="AC44" s="496">
        <v>0.14000000000000001</v>
      </c>
      <c r="AD44" s="402"/>
      <c r="AE44" s="402"/>
      <c r="AF44" s="496"/>
      <c r="AG44" s="402"/>
      <c r="AH44" s="496">
        <f t="shared" si="5"/>
        <v>0</v>
      </c>
      <c r="AI44" s="888">
        <f t="shared" si="6"/>
        <v>0</v>
      </c>
      <c r="AJ44" s="402"/>
      <c r="AK44" s="402"/>
      <c r="AL44" s="402"/>
      <c r="AM44" s="402"/>
      <c r="AN44" s="402" t="e">
        <f t="shared" si="3"/>
        <v>#DIV/0!</v>
      </c>
      <c r="AO44" s="402"/>
      <c r="AP44" s="402"/>
      <c r="AQ44" s="496"/>
      <c r="AR44" s="403"/>
      <c r="AS44" s="475"/>
      <c r="AT44" s="474" t="s">
        <v>887</v>
      </c>
      <c r="AU44" s="476"/>
      <c r="AV44" s="476"/>
      <c r="AW44" s="476"/>
    </row>
    <row r="45" spans="1:49" ht="89.25" x14ac:dyDescent="0.25">
      <c r="A45" s="400" t="s">
        <v>1529</v>
      </c>
      <c r="B45" s="481" t="s">
        <v>1658</v>
      </c>
      <c r="C45" s="486">
        <v>1</v>
      </c>
      <c r="D45" s="486">
        <v>1</v>
      </c>
      <c r="E45" s="486">
        <v>1</v>
      </c>
      <c r="F45" s="486">
        <v>1</v>
      </c>
      <c r="G45" s="486">
        <v>1</v>
      </c>
      <c r="H45" s="486">
        <v>1</v>
      </c>
      <c r="I45" s="486"/>
      <c r="J45" s="486"/>
      <c r="K45" s="496">
        <f t="shared" si="34"/>
        <v>1</v>
      </c>
      <c r="L45" s="496">
        <f t="shared" si="35"/>
        <v>1</v>
      </c>
      <c r="M45" s="496">
        <f t="shared" si="36"/>
        <v>1</v>
      </c>
      <c r="N45" s="401"/>
      <c r="O45" s="401"/>
      <c r="P45" s="401"/>
      <c r="Q45" s="401"/>
      <c r="R45" s="401"/>
      <c r="S45" s="401"/>
      <c r="T45" s="401"/>
      <c r="U45" s="401"/>
      <c r="V45" s="401"/>
      <c r="W45" s="401"/>
      <c r="X45" s="486">
        <v>1</v>
      </c>
      <c r="Y45" s="486">
        <f t="shared" si="37"/>
        <v>0.75</v>
      </c>
      <c r="Z45" s="486">
        <f t="shared" si="32"/>
        <v>0.75</v>
      </c>
      <c r="AA45" s="496">
        <v>0.14000000000000001</v>
      </c>
      <c r="AB45" s="496">
        <v>0.14000000000000001</v>
      </c>
      <c r="AC45" s="496">
        <v>0.14000000000000001</v>
      </c>
      <c r="AD45" s="402"/>
      <c r="AE45" s="402"/>
      <c r="AF45" s="496"/>
      <c r="AG45" s="402"/>
      <c r="AH45" s="496">
        <f t="shared" si="5"/>
        <v>0</v>
      </c>
      <c r="AI45" s="888">
        <f t="shared" si="6"/>
        <v>0</v>
      </c>
      <c r="AJ45" s="402"/>
      <c r="AK45" s="402"/>
      <c r="AL45" s="402"/>
      <c r="AM45" s="402"/>
      <c r="AN45" s="402" t="e">
        <f t="shared" si="3"/>
        <v>#DIV/0!</v>
      </c>
      <c r="AO45" s="402"/>
      <c r="AP45" s="402"/>
      <c r="AQ45" s="496"/>
      <c r="AR45" s="403"/>
      <c r="AS45" s="475"/>
      <c r="AT45" s="474" t="s">
        <v>162</v>
      </c>
      <c r="AU45" s="476"/>
      <c r="AV45" s="476"/>
      <c r="AW45" s="476"/>
    </row>
    <row r="46" spans="1:49" ht="89.25" x14ac:dyDescent="0.25">
      <c r="A46" s="400" t="s">
        <v>1530</v>
      </c>
      <c r="B46" s="481" t="s">
        <v>1661</v>
      </c>
      <c r="C46" s="486">
        <v>1</v>
      </c>
      <c r="D46" s="486">
        <v>1</v>
      </c>
      <c r="E46" s="486">
        <v>1</v>
      </c>
      <c r="F46" s="486">
        <v>0.59</v>
      </c>
      <c r="G46" s="486">
        <v>0.2</v>
      </c>
      <c r="H46" s="486">
        <v>0.89</v>
      </c>
      <c r="I46" s="486"/>
      <c r="J46" s="486"/>
      <c r="K46" s="496">
        <f t="shared" si="34"/>
        <v>0.59</v>
      </c>
      <c r="L46" s="496">
        <f t="shared" si="35"/>
        <v>0.2</v>
      </c>
      <c r="M46" s="496">
        <f t="shared" si="36"/>
        <v>0.89</v>
      </c>
      <c r="N46" s="401"/>
      <c r="O46" s="401"/>
      <c r="P46" s="401"/>
      <c r="Q46" s="401"/>
      <c r="R46" s="401"/>
      <c r="S46" s="401"/>
      <c r="T46" s="401"/>
      <c r="U46" s="401"/>
      <c r="V46" s="401"/>
      <c r="W46" s="401"/>
      <c r="X46" s="486">
        <v>1</v>
      </c>
      <c r="Y46" s="486">
        <f t="shared" si="37"/>
        <v>0.42000000000000004</v>
      </c>
      <c r="Z46" s="486">
        <f t="shared" si="32"/>
        <v>0.42000000000000004</v>
      </c>
      <c r="AA46" s="496">
        <v>0.14000000000000001</v>
      </c>
      <c r="AB46" s="496">
        <v>0.14000000000000001</v>
      </c>
      <c r="AC46" s="496">
        <v>0.14000000000000001</v>
      </c>
      <c r="AD46" s="402"/>
      <c r="AE46" s="402"/>
      <c r="AF46" s="496"/>
      <c r="AG46" s="402"/>
      <c r="AH46" s="496">
        <f t="shared" si="5"/>
        <v>0</v>
      </c>
      <c r="AI46" s="888">
        <f t="shared" si="6"/>
        <v>0</v>
      </c>
      <c r="AJ46" s="402"/>
      <c r="AK46" s="402"/>
      <c r="AL46" s="402"/>
      <c r="AM46" s="402"/>
      <c r="AN46" s="402" t="e">
        <f t="shared" si="3"/>
        <v>#DIV/0!</v>
      </c>
      <c r="AO46" s="402"/>
      <c r="AP46" s="402"/>
      <c r="AQ46" s="496"/>
      <c r="AR46" s="403"/>
      <c r="AS46" s="475"/>
      <c r="AT46" s="474" t="s">
        <v>200</v>
      </c>
      <c r="AU46" s="476"/>
      <c r="AV46" s="476"/>
      <c r="AW46" s="476"/>
    </row>
    <row r="47" spans="1:49" ht="127.5" x14ac:dyDescent="0.25">
      <c r="A47" s="400" t="s">
        <v>1531</v>
      </c>
      <c r="B47" s="481" t="s">
        <v>1662</v>
      </c>
      <c r="C47" s="486">
        <v>1</v>
      </c>
      <c r="D47" s="486">
        <v>1</v>
      </c>
      <c r="E47" s="486">
        <v>1</v>
      </c>
      <c r="F47" s="486">
        <v>1</v>
      </c>
      <c r="G47" s="486">
        <v>1</v>
      </c>
      <c r="H47" s="486">
        <v>1</v>
      </c>
      <c r="I47" s="486"/>
      <c r="J47" s="486"/>
      <c r="K47" s="496">
        <f t="shared" si="34"/>
        <v>1</v>
      </c>
      <c r="L47" s="496">
        <f t="shared" si="35"/>
        <v>1</v>
      </c>
      <c r="M47" s="496">
        <f t="shared" si="36"/>
        <v>1</v>
      </c>
      <c r="N47" s="401"/>
      <c r="O47" s="401"/>
      <c r="P47" s="401"/>
      <c r="Q47" s="401"/>
      <c r="R47" s="401"/>
      <c r="S47" s="401"/>
      <c r="T47" s="401"/>
      <c r="U47" s="401"/>
      <c r="V47" s="401"/>
      <c r="W47" s="401"/>
      <c r="X47" s="486">
        <v>1</v>
      </c>
      <c r="Y47" s="486">
        <f t="shared" si="37"/>
        <v>0.75</v>
      </c>
      <c r="Z47" s="486">
        <f t="shared" si="32"/>
        <v>0.75</v>
      </c>
      <c r="AA47" s="496">
        <v>0.15</v>
      </c>
      <c r="AB47" s="496">
        <v>0.15</v>
      </c>
      <c r="AC47" s="496">
        <v>0.15</v>
      </c>
      <c r="AD47" s="402"/>
      <c r="AE47" s="402"/>
      <c r="AF47" s="496"/>
      <c r="AG47" s="402"/>
      <c r="AH47" s="496">
        <f t="shared" si="5"/>
        <v>0</v>
      </c>
      <c r="AI47" s="888">
        <f t="shared" si="6"/>
        <v>0</v>
      </c>
      <c r="AJ47" s="402"/>
      <c r="AK47" s="402"/>
      <c r="AL47" s="402"/>
      <c r="AM47" s="402"/>
      <c r="AN47" s="402" t="e">
        <f t="shared" si="3"/>
        <v>#DIV/0!</v>
      </c>
      <c r="AO47" s="402"/>
      <c r="AP47" s="402"/>
      <c r="AQ47" s="496"/>
      <c r="AR47" s="403"/>
      <c r="AS47" s="475"/>
      <c r="AT47" s="474" t="s">
        <v>634</v>
      </c>
      <c r="AU47" s="476"/>
      <c r="AV47" s="476"/>
      <c r="AW47" s="476"/>
    </row>
    <row r="48" spans="1:49" ht="38.25" x14ac:dyDescent="0.25">
      <c r="A48" s="400" t="s">
        <v>1532</v>
      </c>
      <c r="B48" s="481" t="s">
        <v>1663</v>
      </c>
      <c r="C48" s="487">
        <v>0</v>
      </c>
      <c r="D48" s="481">
        <v>2</v>
      </c>
      <c r="E48" s="481">
        <v>2</v>
      </c>
      <c r="F48" s="481"/>
      <c r="G48" s="481">
        <v>2</v>
      </c>
      <c r="H48" s="481">
        <v>2</v>
      </c>
      <c r="I48" s="481"/>
      <c r="J48" s="481"/>
      <c r="K48" s="496" t="e">
        <f t="shared" si="34"/>
        <v>#DIV/0!</v>
      </c>
      <c r="L48" s="496">
        <f t="shared" si="35"/>
        <v>1</v>
      </c>
      <c r="M48" s="496">
        <f t="shared" si="36"/>
        <v>1</v>
      </c>
      <c r="N48" s="401"/>
      <c r="O48" s="401"/>
      <c r="P48" s="401"/>
      <c r="Q48" s="401"/>
      <c r="R48" s="401"/>
      <c r="S48" s="401"/>
      <c r="T48" s="401"/>
      <c r="U48" s="401"/>
      <c r="V48" s="401"/>
      <c r="W48" s="401"/>
      <c r="X48" s="481">
        <v>6</v>
      </c>
      <c r="Y48" s="481">
        <f>SUM(F48:H48)</f>
        <v>4</v>
      </c>
      <c r="Z48" s="486">
        <f t="shared" si="32"/>
        <v>0.66666666666666663</v>
      </c>
      <c r="AA48" s="496">
        <v>0.15</v>
      </c>
      <c r="AB48" s="496">
        <v>0.15</v>
      </c>
      <c r="AC48" s="496">
        <v>0.15</v>
      </c>
      <c r="AD48" s="402"/>
      <c r="AE48" s="402"/>
      <c r="AF48" s="496"/>
      <c r="AG48" s="402"/>
      <c r="AH48" s="496">
        <f t="shared" si="5"/>
        <v>0</v>
      </c>
      <c r="AI48" s="888">
        <f t="shared" si="6"/>
        <v>0</v>
      </c>
      <c r="AJ48" s="402"/>
      <c r="AK48" s="402"/>
      <c r="AL48" s="402"/>
      <c r="AM48" s="402"/>
      <c r="AN48" s="402" t="e">
        <f t="shared" si="3"/>
        <v>#DIV/0!</v>
      </c>
      <c r="AO48" s="402"/>
      <c r="AP48" s="402"/>
      <c r="AQ48" s="496"/>
      <c r="AR48" s="403"/>
      <c r="AS48" s="475"/>
      <c r="AT48" s="474"/>
      <c r="AU48" s="476"/>
      <c r="AV48" s="476"/>
      <c r="AW48" s="476"/>
    </row>
    <row r="49" spans="1:49" ht="76.5" x14ac:dyDescent="0.25">
      <c r="A49" s="555" t="s">
        <v>1533</v>
      </c>
      <c r="B49" s="554" t="s">
        <v>1724</v>
      </c>
      <c r="C49" s="548"/>
      <c r="D49" s="548"/>
      <c r="E49" s="548"/>
      <c r="F49" s="548"/>
      <c r="G49" s="548"/>
      <c r="H49" s="548"/>
      <c r="I49" s="548"/>
      <c r="J49" s="548"/>
      <c r="K49" s="549" t="e">
        <f>(+K50+K51)/2</f>
        <v>#DIV/0!</v>
      </c>
      <c r="L49" s="549">
        <f>+SUMPRODUCT(L50:L51,AB50:AB51)</f>
        <v>1</v>
      </c>
      <c r="M49" s="549">
        <f>+SUMPRODUCT(M50:M51,AC50:AC51)</f>
        <v>1</v>
      </c>
      <c r="N49" s="570"/>
      <c r="O49" s="570"/>
      <c r="P49" s="570"/>
      <c r="Q49" s="570"/>
      <c r="R49" s="570"/>
      <c r="S49" s="570"/>
      <c r="T49" s="570"/>
      <c r="U49" s="570"/>
      <c r="V49" s="570"/>
      <c r="W49" s="570"/>
      <c r="X49" s="548">
        <v>1</v>
      </c>
      <c r="Y49" s="548"/>
      <c r="Z49" s="549">
        <f>+SUMPRODUCT(Z50:Z51,AA50:AA51)</f>
        <v>0.83333333333333326</v>
      </c>
      <c r="AA49" s="549">
        <v>0.17</v>
      </c>
      <c r="AB49" s="549">
        <v>0.17</v>
      </c>
      <c r="AC49" s="549">
        <v>0.17</v>
      </c>
      <c r="AD49" s="571">
        <v>100000000</v>
      </c>
      <c r="AE49" s="570">
        <v>100000000</v>
      </c>
      <c r="AF49" s="548">
        <f>AE49/AD49</f>
        <v>1</v>
      </c>
      <c r="AG49" s="570">
        <f>SUM(AG50:AG51)</f>
        <v>0</v>
      </c>
      <c r="AH49" s="548">
        <f t="shared" ref="AH49" si="38">+AG49/AD49</f>
        <v>0</v>
      </c>
      <c r="AI49" s="886">
        <f>+AE49-AG49</f>
        <v>100000000</v>
      </c>
      <c r="AJ49" s="570">
        <f>SUM(AJ50:AJ51)</f>
        <v>0</v>
      </c>
      <c r="AK49" s="570">
        <f>SUM(AK50:AK51)</f>
        <v>0</v>
      </c>
      <c r="AL49" s="890">
        <v>0</v>
      </c>
      <c r="AM49" s="890">
        <v>0</v>
      </c>
      <c r="AN49" s="887" t="e">
        <f t="shared" si="3"/>
        <v>#DIV/0!</v>
      </c>
      <c r="AO49" s="570">
        <v>155000000</v>
      </c>
      <c r="AP49" s="571">
        <v>100000000</v>
      </c>
      <c r="AQ49" s="549">
        <f>AP49/AO49</f>
        <v>0.64516129032258063</v>
      </c>
      <c r="AR49" s="550"/>
      <c r="AS49" s="551" t="s">
        <v>1482</v>
      </c>
      <c r="AT49" s="552"/>
      <c r="AU49" s="553"/>
      <c r="AV49" s="553"/>
      <c r="AW49" s="553"/>
    </row>
    <row r="50" spans="1:49" ht="64.5" thickBot="1" x14ac:dyDescent="0.3">
      <c r="A50" s="400" t="s">
        <v>1534</v>
      </c>
      <c r="B50" s="483" t="s">
        <v>1641</v>
      </c>
      <c r="C50" s="487">
        <v>0</v>
      </c>
      <c r="D50" s="481">
        <v>2</v>
      </c>
      <c r="E50" s="481">
        <v>2</v>
      </c>
      <c r="F50" s="483"/>
      <c r="G50" s="483">
        <v>2</v>
      </c>
      <c r="H50" s="483">
        <v>2</v>
      </c>
      <c r="I50" s="483"/>
      <c r="J50" s="483"/>
      <c r="K50" s="496" t="e">
        <f t="shared" ref="K50:K51" si="39">IF(F50/C50&gt;=100%,100%,F50/C50)</f>
        <v>#DIV/0!</v>
      </c>
      <c r="L50" s="496">
        <f t="shared" ref="L50:L51" si="40">IF(G50/D50&gt;=100%,100%,G50/D50)</f>
        <v>1</v>
      </c>
      <c r="M50" s="496">
        <f t="shared" ref="M50:M51" si="41">IF(H50/E50&gt;=100%,100%,H50/E50)</f>
        <v>1</v>
      </c>
      <c r="N50" s="407"/>
      <c r="O50" s="407"/>
      <c r="P50" s="407"/>
      <c r="Q50" s="407"/>
      <c r="R50" s="407"/>
      <c r="S50" s="407"/>
      <c r="T50" s="407"/>
      <c r="U50" s="407"/>
      <c r="V50" s="407"/>
      <c r="W50" s="407"/>
      <c r="X50" s="483">
        <v>6</v>
      </c>
      <c r="Y50" s="483">
        <f>SUM(F50:H50)</f>
        <v>4</v>
      </c>
      <c r="Z50" s="488">
        <f t="shared" ref="Z50:Z51" si="42">IF(Y50/X50&gt;=100%,100%,Y50/X50)</f>
        <v>0.66666666666666663</v>
      </c>
      <c r="AA50" s="497">
        <v>0.5</v>
      </c>
      <c r="AB50" s="497">
        <v>0.5</v>
      </c>
      <c r="AC50" s="497">
        <v>0.5</v>
      </c>
      <c r="AD50" s="408"/>
      <c r="AE50" s="408"/>
      <c r="AF50" s="497"/>
      <c r="AG50" s="891">
        <v>0</v>
      </c>
      <c r="AH50" s="497">
        <f t="shared" si="5"/>
        <v>0</v>
      </c>
      <c r="AI50" s="888">
        <f t="shared" si="6"/>
        <v>0</v>
      </c>
      <c r="AJ50" s="891">
        <v>0</v>
      </c>
      <c r="AK50" s="891">
        <v>0</v>
      </c>
      <c r="AL50" s="891"/>
      <c r="AM50" s="891"/>
      <c r="AN50" s="408" t="e">
        <f t="shared" si="3"/>
        <v>#DIV/0!</v>
      </c>
      <c r="AO50" s="408"/>
      <c r="AP50" s="408"/>
      <c r="AQ50" s="497"/>
      <c r="AR50" s="409"/>
      <c r="AS50" s="475"/>
      <c r="AT50" s="474" t="s">
        <v>314</v>
      </c>
      <c r="AU50" s="476"/>
      <c r="AV50" s="476"/>
      <c r="AW50" s="476"/>
    </row>
    <row r="51" spans="1:49" ht="64.5" thickBot="1" x14ac:dyDescent="0.3">
      <c r="A51" s="400" t="s">
        <v>1535</v>
      </c>
      <c r="B51" s="483" t="s">
        <v>1641</v>
      </c>
      <c r="C51" s="487">
        <v>0</v>
      </c>
      <c r="D51" s="481">
        <v>1</v>
      </c>
      <c r="E51" s="481">
        <v>1</v>
      </c>
      <c r="F51" s="483"/>
      <c r="G51" s="483">
        <v>3</v>
      </c>
      <c r="H51" s="483">
        <v>1</v>
      </c>
      <c r="I51" s="483"/>
      <c r="J51" s="483"/>
      <c r="K51" s="496" t="e">
        <f t="shared" si="39"/>
        <v>#DIV/0!</v>
      </c>
      <c r="L51" s="496">
        <f t="shared" si="40"/>
        <v>1</v>
      </c>
      <c r="M51" s="496">
        <f t="shared" si="41"/>
        <v>1</v>
      </c>
      <c r="N51" s="407"/>
      <c r="O51" s="407"/>
      <c r="P51" s="407"/>
      <c r="Q51" s="407"/>
      <c r="R51" s="407"/>
      <c r="S51" s="407"/>
      <c r="T51" s="407"/>
      <c r="U51" s="407"/>
      <c r="V51" s="407"/>
      <c r="W51" s="407"/>
      <c r="X51" s="483">
        <v>3</v>
      </c>
      <c r="Y51" s="483">
        <f>SUM(F51:H51)</f>
        <v>4</v>
      </c>
      <c r="Z51" s="488">
        <f t="shared" si="42"/>
        <v>1</v>
      </c>
      <c r="AA51" s="497">
        <v>0.5</v>
      </c>
      <c r="AB51" s="497">
        <v>0.5</v>
      </c>
      <c r="AC51" s="497">
        <v>0.5</v>
      </c>
      <c r="AD51" s="408"/>
      <c r="AE51" s="408"/>
      <c r="AF51" s="497"/>
      <c r="AG51" s="891">
        <v>0</v>
      </c>
      <c r="AH51" s="497">
        <f t="shared" si="5"/>
        <v>0</v>
      </c>
      <c r="AI51" s="888">
        <f t="shared" si="6"/>
        <v>0</v>
      </c>
      <c r="AJ51" s="891">
        <v>0</v>
      </c>
      <c r="AK51" s="891">
        <v>0</v>
      </c>
      <c r="AL51" s="891"/>
      <c r="AM51" s="891"/>
      <c r="AN51" s="892" t="e">
        <f t="shared" si="3"/>
        <v>#DIV/0!</v>
      </c>
      <c r="AO51" s="408"/>
      <c r="AP51" s="408"/>
      <c r="AQ51" s="497"/>
      <c r="AR51" s="409"/>
      <c r="AS51" s="475"/>
      <c r="AT51" s="474" t="s">
        <v>314</v>
      </c>
      <c r="AU51" s="476"/>
      <c r="AV51" s="476"/>
      <c r="AW51" s="476"/>
    </row>
    <row r="52" spans="1:49" ht="76.5" x14ac:dyDescent="0.25">
      <c r="A52" s="555" t="s">
        <v>1536</v>
      </c>
      <c r="B52" s="554" t="s">
        <v>1724</v>
      </c>
      <c r="C52" s="548"/>
      <c r="D52" s="548"/>
      <c r="E52" s="548"/>
      <c r="F52" s="548"/>
      <c r="G52" s="548"/>
      <c r="H52" s="548"/>
      <c r="I52" s="548"/>
      <c r="J52" s="548"/>
      <c r="K52" s="549">
        <f>+(K53*50%)+(K56*50%)</f>
        <v>1</v>
      </c>
      <c r="L52" s="549">
        <f>+(L53*AA53)+(L55*AA55)+(L56*AA56)</f>
        <v>0.484375</v>
      </c>
      <c r="M52" s="549">
        <f>+SUMPRODUCT(M53:M56,AC53:AC56)</f>
        <v>1</v>
      </c>
      <c r="N52" s="570"/>
      <c r="O52" s="570"/>
      <c r="P52" s="570"/>
      <c r="Q52" s="570"/>
      <c r="R52" s="570"/>
      <c r="S52" s="570"/>
      <c r="T52" s="570"/>
      <c r="U52" s="570"/>
      <c r="V52" s="570"/>
      <c r="W52" s="570"/>
      <c r="X52" s="548">
        <v>1</v>
      </c>
      <c r="Y52" s="548"/>
      <c r="Z52" s="549">
        <f>+SUMPRODUCT(Z53:Z56,AA53:AA56)</f>
        <v>0.95</v>
      </c>
      <c r="AA52" s="549">
        <v>0.16</v>
      </c>
      <c r="AB52" s="549">
        <v>0.16</v>
      </c>
      <c r="AC52" s="549">
        <v>0.16</v>
      </c>
      <c r="AD52" s="571">
        <v>1285498071</v>
      </c>
      <c r="AE52" s="570">
        <v>1075218155</v>
      </c>
      <c r="AF52" s="548">
        <f>AE52/AD52</f>
        <v>0.83642144570748256</v>
      </c>
      <c r="AG52" s="570">
        <v>827178846</v>
      </c>
      <c r="AH52" s="548">
        <f t="shared" ref="AH52" si="43">+AG52/AD52</f>
        <v>0.64346953500796034</v>
      </c>
      <c r="AI52" s="570">
        <f>+AE52-AG52</f>
        <v>248039309</v>
      </c>
      <c r="AJ52" s="570">
        <f>223881450+40500000</f>
        <v>264381450</v>
      </c>
      <c r="AK52" s="570">
        <f>223881450+28800000</f>
        <v>252681450</v>
      </c>
      <c r="AL52" s="570">
        <f>234665554+37840623+77615153</f>
        <v>350121330</v>
      </c>
      <c r="AM52" s="570">
        <f>234665554+34940623+77615153</f>
        <v>347221330</v>
      </c>
      <c r="AN52" s="570">
        <f t="shared" si="3"/>
        <v>0.99171715702096752</v>
      </c>
      <c r="AO52" s="570">
        <v>3549029939</v>
      </c>
      <c r="AP52" s="571">
        <v>2372582083</v>
      </c>
      <c r="AQ52" s="549">
        <f>AP52/AO52</f>
        <v>0.66851565745554564</v>
      </c>
      <c r="AR52" s="550"/>
      <c r="AS52" s="551" t="s">
        <v>1482</v>
      </c>
      <c r="AT52" s="552"/>
      <c r="AU52" s="553"/>
      <c r="AV52" s="553"/>
      <c r="AW52" s="553"/>
    </row>
    <row r="53" spans="1:49" ht="63.75" x14ac:dyDescent="0.25">
      <c r="A53" s="400" t="s">
        <v>1537</v>
      </c>
      <c r="B53" s="481" t="s">
        <v>1664</v>
      </c>
      <c r="C53" s="481">
        <v>1</v>
      </c>
      <c r="D53" s="481">
        <v>1</v>
      </c>
      <c r="E53" s="481">
        <v>1</v>
      </c>
      <c r="F53" s="481">
        <v>1</v>
      </c>
      <c r="G53" s="481">
        <v>1</v>
      </c>
      <c r="H53" s="481">
        <v>1</v>
      </c>
      <c r="I53" s="481"/>
      <c r="J53" s="481"/>
      <c r="K53" s="496">
        <f t="shared" ref="K53:K56" si="44">IF(F53/C53&gt;=100%,100%,F53/C53)</f>
        <v>1</v>
      </c>
      <c r="L53" s="496">
        <f t="shared" ref="L53:L56" si="45">IF(G53/D53&gt;=100%,100%,G53/D53)</f>
        <v>1</v>
      </c>
      <c r="M53" s="496">
        <f t="shared" ref="M53:M56" si="46">IF(H53/E53&gt;=100%,100%,H53/E53)</f>
        <v>1</v>
      </c>
      <c r="N53" s="401"/>
      <c r="O53" s="401"/>
      <c r="P53" s="401"/>
      <c r="Q53" s="401"/>
      <c r="R53" s="401"/>
      <c r="S53" s="401"/>
      <c r="T53" s="401"/>
      <c r="U53" s="401"/>
      <c r="V53" s="401"/>
      <c r="W53" s="401"/>
      <c r="X53" s="481">
        <v>1</v>
      </c>
      <c r="Y53" s="481">
        <f>SUM(F53:H53)</f>
        <v>3</v>
      </c>
      <c r="Z53" s="486">
        <f t="shared" ref="Z53:Z56" si="47">IF(Y53/X53&gt;=100%,100%,Y53/X53)</f>
        <v>1</v>
      </c>
      <c r="AA53" s="496">
        <v>0.25</v>
      </c>
      <c r="AB53" s="496">
        <v>0.34</v>
      </c>
      <c r="AC53" s="496">
        <v>0.25</v>
      </c>
      <c r="AD53" s="402"/>
      <c r="AE53" s="402"/>
      <c r="AF53" s="496"/>
      <c r="AG53" s="402"/>
      <c r="AH53" s="496">
        <f t="shared" si="5"/>
        <v>0</v>
      </c>
      <c r="AI53" s="888"/>
      <c r="AJ53" s="402"/>
      <c r="AK53" s="402"/>
      <c r="AL53" s="402"/>
      <c r="AM53" s="402"/>
      <c r="AN53" s="402" t="e">
        <f t="shared" si="3"/>
        <v>#DIV/0!</v>
      </c>
      <c r="AO53" s="402"/>
      <c r="AP53" s="402"/>
      <c r="AQ53" s="496"/>
      <c r="AR53" s="403"/>
      <c r="AS53" s="475"/>
      <c r="AT53" s="474" t="s">
        <v>1001</v>
      </c>
      <c r="AU53" s="476"/>
      <c r="AV53" s="476"/>
      <c r="AW53" s="476"/>
    </row>
    <row r="54" spans="1:49" ht="63.75" x14ac:dyDescent="0.25">
      <c r="A54" s="400" t="s">
        <v>1540</v>
      </c>
      <c r="B54" s="481" t="s">
        <v>2041</v>
      </c>
      <c r="C54" s="487">
        <v>0</v>
      </c>
      <c r="D54" s="487">
        <v>0</v>
      </c>
      <c r="E54" s="481">
        <v>1</v>
      </c>
      <c r="F54" s="481"/>
      <c r="G54" s="481"/>
      <c r="H54" s="481">
        <v>1</v>
      </c>
      <c r="I54" s="481"/>
      <c r="J54" s="481"/>
      <c r="K54" s="496" t="e">
        <f t="shared" si="44"/>
        <v>#DIV/0!</v>
      </c>
      <c r="L54" s="496" t="e">
        <f t="shared" si="45"/>
        <v>#DIV/0!</v>
      </c>
      <c r="M54" s="496">
        <f t="shared" si="46"/>
        <v>1</v>
      </c>
      <c r="N54" s="401"/>
      <c r="O54" s="401"/>
      <c r="P54" s="401"/>
      <c r="Q54" s="401"/>
      <c r="R54" s="401"/>
      <c r="S54" s="401"/>
      <c r="T54" s="401"/>
      <c r="U54" s="401"/>
      <c r="V54" s="401"/>
      <c r="W54" s="401"/>
      <c r="X54" s="481">
        <v>1</v>
      </c>
      <c r="Y54" s="481">
        <f>SUM(F54:H54)</f>
        <v>1</v>
      </c>
      <c r="Z54" s="486">
        <f t="shared" si="47"/>
        <v>1</v>
      </c>
      <c r="AA54" s="496">
        <v>0.25</v>
      </c>
      <c r="AB54" s="496">
        <v>0</v>
      </c>
      <c r="AC54" s="496">
        <v>0.25</v>
      </c>
      <c r="AD54" s="402"/>
      <c r="AE54" s="402"/>
      <c r="AF54" s="496"/>
      <c r="AG54" s="402"/>
      <c r="AH54" s="496" t="e">
        <f t="shared" si="5"/>
        <v>#DIV/0!</v>
      </c>
      <c r="AI54" s="888">
        <f t="shared" si="6"/>
        <v>0</v>
      </c>
      <c r="AJ54" s="402"/>
      <c r="AK54" s="402"/>
      <c r="AL54" s="402"/>
      <c r="AM54" s="402"/>
      <c r="AN54" s="402" t="e">
        <f t="shared" si="3"/>
        <v>#DIV/0!</v>
      </c>
      <c r="AO54" s="402"/>
      <c r="AP54" s="402"/>
      <c r="AQ54" s="496"/>
      <c r="AR54" s="403"/>
      <c r="AS54" s="475"/>
      <c r="AT54" s="474" t="s">
        <v>1001</v>
      </c>
      <c r="AU54" s="476"/>
      <c r="AV54" s="476"/>
      <c r="AW54" s="476"/>
    </row>
    <row r="55" spans="1:49" ht="76.5" x14ac:dyDescent="0.25">
      <c r="A55" s="400" t="s">
        <v>1538</v>
      </c>
      <c r="B55" s="481" t="s">
        <v>1665</v>
      </c>
      <c r="C55" s="487">
        <v>0</v>
      </c>
      <c r="D55" s="481">
        <v>3</v>
      </c>
      <c r="E55" s="481">
        <v>3</v>
      </c>
      <c r="F55" s="481"/>
      <c r="G55" s="481">
        <v>0</v>
      </c>
      <c r="H55" s="481">
        <v>15</v>
      </c>
      <c r="I55" s="481"/>
      <c r="J55" s="481"/>
      <c r="K55" s="496" t="e">
        <f t="shared" si="44"/>
        <v>#DIV/0!</v>
      </c>
      <c r="L55" s="496">
        <f t="shared" si="45"/>
        <v>0</v>
      </c>
      <c r="M55" s="496">
        <f t="shared" si="46"/>
        <v>1</v>
      </c>
      <c r="N55" s="401"/>
      <c r="O55" s="401"/>
      <c r="P55" s="401"/>
      <c r="Q55" s="401"/>
      <c r="R55" s="401"/>
      <c r="S55" s="401"/>
      <c r="T55" s="401"/>
      <c r="U55" s="401"/>
      <c r="V55" s="401"/>
      <c r="W55" s="401"/>
      <c r="X55" s="481">
        <v>9</v>
      </c>
      <c r="Y55" s="481">
        <f>SUM(F55:H55)</f>
        <v>15</v>
      </c>
      <c r="Z55" s="486">
        <f t="shared" si="47"/>
        <v>1</v>
      </c>
      <c r="AA55" s="496">
        <v>0.25</v>
      </c>
      <c r="AB55" s="496">
        <v>0.33</v>
      </c>
      <c r="AC55" s="496">
        <v>0.25</v>
      </c>
      <c r="AD55" s="402"/>
      <c r="AE55" s="402"/>
      <c r="AF55" s="496"/>
      <c r="AG55" s="402"/>
      <c r="AH55" s="496">
        <f t="shared" si="5"/>
        <v>0</v>
      </c>
      <c r="AI55" s="888">
        <f t="shared" si="6"/>
        <v>0</v>
      </c>
      <c r="AJ55" s="402"/>
      <c r="AK55" s="402"/>
      <c r="AL55" s="402"/>
      <c r="AM55" s="402"/>
      <c r="AN55" s="402" t="e">
        <f t="shared" si="3"/>
        <v>#DIV/0!</v>
      </c>
      <c r="AO55" s="402"/>
      <c r="AP55" s="402"/>
      <c r="AQ55" s="496"/>
      <c r="AR55" s="403"/>
      <c r="AS55" s="475"/>
      <c r="AT55" s="474" t="s">
        <v>704</v>
      </c>
      <c r="AU55" s="476"/>
      <c r="AV55" s="476"/>
      <c r="AW55" s="476"/>
    </row>
    <row r="56" spans="1:49" ht="115.5" thickBot="1" x14ac:dyDescent="0.3">
      <c r="A56" s="480" t="s">
        <v>1539</v>
      </c>
      <c r="B56" s="482" t="s">
        <v>1666</v>
      </c>
      <c r="C56" s="489">
        <v>0.8</v>
      </c>
      <c r="D56" s="489">
        <v>0.8</v>
      </c>
      <c r="E56" s="489">
        <v>0.8</v>
      </c>
      <c r="F56" s="489">
        <v>0.81</v>
      </c>
      <c r="G56" s="489">
        <v>0.75</v>
      </c>
      <c r="H56" s="489">
        <v>1</v>
      </c>
      <c r="I56" s="489"/>
      <c r="J56" s="489"/>
      <c r="K56" s="496">
        <f t="shared" si="44"/>
        <v>1</v>
      </c>
      <c r="L56" s="496">
        <f t="shared" si="45"/>
        <v>0.9375</v>
      </c>
      <c r="M56" s="496">
        <f t="shared" si="46"/>
        <v>1</v>
      </c>
      <c r="N56" s="411"/>
      <c r="O56" s="411"/>
      <c r="P56" s="411"/>
      <c r="Q56" s="411"/>
      <c r="R56" s="411"/>
      <c r="S56" s="411"/>
      <c r="T56" s="411"/>
      <c r="U56" s="411"/>
      <c r="V56" s="411"/>
      <c r="W56" s="411"/>
      <c r="X56" s="489">
        <v>0.8</v>
      </c>
      <c r="Y56" s="486">
        <f>SUM(F56:H56)/4</f>
        <v>0.64</v>
      </c>
      <c r="Z56" s="489">
        <f t="shared" si="47"/>
        <v>0.79999999999999993</v>
      </c>
      <c r="AA56" s="492">
        <v>0.25</v>
      </c>
      <c r="AB56" s="492">
        <v>0.33</v>
      </c>
      <c r="AC56" s="492">
        <v>0.25</v>
      </c>
      <c r="AD56" s="412"/>
      <c r="AE56" s="412"/>
      <c r="AF56" s="492"/>
      <c r="AG56" s="412"/>
      <c r="AH56" s="492">
        <f t="shared" si="5"/>
        <v>0</v>
      </c>
      <c r="AI56" s="888">
        <f t="shared" si="6"/>
        <v>0</v>
      </c>
      <c r="AJ56" s="412"/>
      <c r="AK56" s="412"/>
      <c r="AL56" s="412"/>
      <c r="AM56" s="412"/>
      <c r="AN56" s="412" t="e">
        <f t="shared" si="3"/>
        <v>#DIV/0!</v>
      </c>
      <c r="AO56" s="412"/>
      <c r="AP56" s="412"/>
      <c r="AQ56" s="492"/>
      <c r="AR56" s="413"/>
      <c r="AS56" s="477"/>
      <c r="AT56" s="478" t="s">
        <v>704</v>
      </c>
      <c r="AU56" s="479"/>
      <c r="AV56" s="479"/>
      <c r="AW56" s="479"/>
    </row>
    <row r="57" spans="1:49" ht="76.5" x14ac:dyDescent="0.25">
      <c r="A57" s="556" t="s">
        <v>1541</v>
      </c>
      <c r="B57" s="540"/>
      <c r="C57" s="541"/>
      <c r="D57" s="541"/>
      <c r="E57" s="541"/>
      <c r="F57" s="541"/>
      <c r="G57" s="541"/>
      <c r="H57" s="541"/>
      <c r="I57" s="541"/>
      <c r="J57" s="541"/>
      <c r="K57" s="541">
        <f>+(K58*AA58)+(K61*AA61)+(K67*AA67)+(K70*AA70)</f>
        <v>0.83715000000000006</v>
      </c>
      <c r="L57" s="541">
        <f>+(L58*AA58)+(L61*AA61)+(L67*AA67)+(L70*AA70)</f>
        <v>1</v>
      </c>
      <c r="M57" s="541">
        <f>+(M58*AC58)+(M61*AC61)+(M67*AC67)+(M70*AC70)</f>
        <v>1</v>
      </c>
      <c r="N57" s="883"/>
      <c r="O57" s="883"/>
      <c r="P57" s="883"/>
      <c r="Q57" s="883"/>
      <c r="R57" s="883"/>
      <c r="S57" s="883"/>
      <c r="T57" s="883"/>
      <c r="U57" s="883"/>
      <c r="V57" s="883"/>
      <c r="W57" s="883"/>
      <c r="X57" s="541">
        <v>1</v>
      </c>
      <c r="Y57" s="541"/>
      <c r="Z57" s="541">
        <f>+(Z58*AA58)+(Z61*AA61)+(Z67*AA67)+(Z70*AA70)</f>
        <v>0.765380018939394</v>
      </c>
      <c r="AA57" s="574">
        <v>0.15</v>
      </c>
      <c r="AB57" s="574">
        <v>0.15</v>
      </c>
      <c r="AC57" s="574">
        <v>0.15</v>
      </c>
      <c r="AD57" s="542">
        <f>SUM(AD58:AD74)</f>
        <v>24677230744</v>
      </c>
      <c r="AE57" s="542">
        <f>SUM(AE58:AE74)</f>
        <v>23865964436</v>
      </c>
      <c r="AF57" s="543">
        <f>AE57/AD57</f>
        <v>0.96712490488029135</v>
      </c>
      <c r="AG57" s="542">
        <f>SUM(AG58:AG74)</f>
        <v>14602723320</v>
      </c>
      <c r="AH57" s="543">
        <f t="shared" ref="AH57:AH58" si="48">+AG57/AD57</f>
        <v>0.59174886645457547</v>
      </c>
      <c r="AI57" s="542">
        <f>SUM(AI58:AI74)</f>
        <v>9263241116</v>
      </c>
      <c r="AJ57" s="542">
        <f>SUM(AJ58:AJ74)</f>
        <v>8999956081</v>
      </c>
      <c r="AK57" s="542">
        <f t="shared" ref="AK57:AM57" si="49">AK58+AK61+AK67+AK70</f>
        <v>8928235917</v>
      </c>
      <c r="AL57" s="542">
        <f t="shared" si="49"/>
        <v>4285363419</v>
      </c>
      <c r="AM57" s="542">
        <f t="shared" si="49"/>
        <v>4285363372</v>
      </c>
      <c r="AN57" s="893">
        <f t="shared" si="3"/>
        <v>0.99999998903243548</v>
      </c>
      <c r="AO57" s="542">
        <f>SUM(AO58:AO74)</f>
        <v>64281313051</v>
      </c>
      <c r="AP57" s="542">
        <f>SUM(AP58:AP74)</f>
        <v>40261793079</v>
      </c>
      <c r="AQ57" s="582">
        <f>AP57/AO57</f>
        <v>0.62633744035466088</v>
      </c>
      <c r="AR57" s="544"/>
      <c r="AS57" s="545" t="s">
        <v>1483</v>
      </c>
      <c r="AT57" s="544"/>
      <c r="AU57" s="546" t="s">
        <v>1761</v>
      </c>
      <c r="AV57" s="546" t="s">
        <v>1761</v>
      </c>
      <c r="AW57" s="546" t="s">
        <v>1761</v>
      </c>
    </row>
    <row r="58" spans="1:49" ht="76.5" x14ac:dyDescent="0.25">
      <c r="A58" s="555" t="s">
        <v>1542</v>
      </c>
      <c r="B58" s="554" t="s">
        <v>1724</v>
      </c>
      <c r="C58" s="548"/>
      <c r="D58" s="548"/>
      <c r="E58" s="548"/>
      <c r="F58" s="548"/>
      <c r="G58" s="548"/>
      <c r="H58" s="548"/>
      <c r="I58" s="548"/>
      <c r="J58" s="548"/>
      <c r="K58" s="549">
        <f>+(K59*50%)+(K60*50%)</f>
        <v>0.34860000000000002</v>
      </c>
      <c r="L58" s="549">
        <f>+SUMPRODUCT(L59:L60,AB59:AB60)</f>
        <v>1</v>
      </c>
      <c r="M58" s="549">
        <f>+SUMPRODUCT(M59:M60,AC59:AC60)</f>
        <v>1</v>
      </c>
      <c r="N58" s="570"/>
      <c r="O58" s="570"/>
      <c r="P58" s="570"/>
      <c r="Q58" s="570"/>
      <c r="R58" s="570"/>
      <c r="S58" s="570"/>
      <c r="T58" s="570"/>
      <c r="U58" s="570"/>
      <c r="V58" s="570"/>
      <c r="W58" s="570"/>
      <c r="X58" s="548">
        <v>1</v>
      </c>
      <c r="Y58" s="548"/>
      <c r="Z58" s="577">
        <f>+SUMPRODUCT(Z59:Z60,AA59:AA60)</f>
        <v>0.92402007575757583</v>
      </c>
      <c r="AA58" s="577">
        <v>0.25</v>
      </c>
      <c r="AB58" s="577">
        <v>0.25</v>
      </c>
      <c r="AC58" s="577">
        <v>0.25</v>
      </c>
      <c r="AD58" s="571">
        <v>1262580516</v>
      </c>
      <c r="AE58" s="570">
        <v>673054130</v>
      </c>
      <c r="AF58" s="548">
        <f>AE58/AD58</f>
        <v>0.5330781850905737</v>
      </c>
      <c r="AG58" s="570">
        <v>673054130</v>
      </c>
      <c r="AH58" s="548">
        <f t="shared" si="48"/>
        <v>0.5330781850905737</v>
      </c>
      <c r="AI58" s="886">
        <f>+AE58-AG58</f>
        <v>0</v>
      </c>
      <c r="AJ58" s="886">
        <v>71606428</v>
      </c>
      <c r="AK58" s="886">
        <v>0</v>
      </c>
      <c r="AL58" s="886">
        <v>796628955</v>
      </c>
      <c r="AM58" s="886">
        <v>796628908</v>
      </c>
      <c r="AN58" s="887">
        <f t="shared" si="3"/>
        <v>0.99999994100139133</v>
      </c>
      <c r="AO58" s="570">
        <v>6598898178</v>
      </c>
      <c r="AP58" s="571">
        <v>1640174582</v>
      </c>
      <c r="AQ58" s="549">
        <f>AP58/AO58</f>
        <v>0.24855279438439609</v>
      </c>
      <c r="AR58" s="550"/>
      <c r="AS58" s="551" t="s">
        <v>1483</v>
      </c>
      <c r="AT58" s="552"/>
      <c r="AU58" s="553"/>
      <c r="AV58" s="553"/>
      <c r="AW58" s="553"/>
    </row>
    <row r="59" spans="1:49" ht="76.5" x14ac:dyDescent="0.25">
      <c r="A59" s="400" t="s">
        <v>1543</v>
      </c>
      <c r="B59" s="481" t="s">
        <v>1668</v>
      </c>
      <c r="C59" s="481">
        <v>45</v>
      </c>
      <c r="D59" s="481">
        <v>39</v>
      </c>
      <c r="E59" s="481">
        <v>40</v>
      </c>
      <c r="F59" s="481"/>
      <c r="G59" s="529">
        <v>73.510000000000005</v>
      </c>
      <c r="H59" s="529">
        <v>76.89</v>
      </c>
      <c r="I59" s="481"/>
      <c r="J59" s="481"/>
      <c r="K59" s="496">
        <f t="shared" ref="K59:K60" si="50">IF(F59/C59&gt;=100%,100%,F59/C59)</f>
        <v>0</v>
      </c>
      <c r="L59" s="496">
        <f t="shared" ref="L59:L60" si="51">IF(G59/D59&gt;=100%,100%,G59/D59)</f>
        <v>1</v>
      </c>
      <c r="M59" s="496">
        <f t="shared" ref="M59:M60" si="52">IF(H59/E59&gt;=100%,100%,H59/E59)</f>
        <v>1</v>
      </c>
      <c r="N59" s="401"/>
      <c r="O59" s="401"/>
      <c r="P59" s="401"/>
      <c r="Q59" s="401"/>
      <c r="R59" s="401"/>
      <c r="S59" s="401"/>
      <c r="T59" s="401"/>
      <c r="U59" s="401"/>
      <c r="V59" s="401"/>
      <c r="W59" s="401"/>
      <c r="X59" s="481">
        <v>165</v>
      </c>
      <c r="Y59" s="493">
        <f>SUM(F59:H59)</f>
        <v>150.4</v>
      </c>
      <c r="Z59" s="500">
        <f t="shared" ref="Z59:Z60" si="53">IF(Y59/X59&gt;=100%,100%,Y59/X59)</f>
        <v>0.9115151515151515</v>
      </c>
      <c r="AA59" s="496">
        <v>0.5</v>
      </c>
      <c r="AB59" s="496">
        <v>0.5</v>
      </c>
      <c r="AC59" s="496">
        <v>0.5</v>
      </c>
      <c r="AD59" s="402">
        <v>9067542770</v>
      </c>
      <c r="AE59" s="401">
        <v>9057327022</v>
      </c>
      <c r="AF59" s="486"/>
      <c r="AG59" s="891">
        <v>0</v>
      </c>
      <c r="AH59" s="486">
        <f t="shared" si="5"/>
        <v>0</v>
      </c>
      <c r="AI59" s="888">
        <f>+AE59-AG59</f>
        <v>9057327022</v>
      </c>
      <c r="AJ59" s="401"/>
      <c r="AK59" s="401"/>
      <c r="AL59" s="401"/>
      <c r="AM59" s="401"/>
      <c r="AN59" s="401" t="e">
        <f t="shared" si="3"/>
        <v>#DIV/0!</v>
      </c>
      <c r="AO59" s="401">
        <v>9067542770</v>
      </c>
      <c r="AP59" s="402">
        <v>9057327022</v>
      </c>
      <c r="AQ59" s="496"/>
      <c r="AR59" s="471"/>
      <c r="AS59" s="475"/>
      <c r="AT59" s="474" t="s">
        <v>557</v>
      </c>
      <c r="AU59" s="476"/>
      <c r="AV59" s="476"/>
      <c r="AW59" s="476"/>
    </row>
    <row r="60" spans="1:49" ht="76.5" x14ac:dyDescent="0.25">
      <c r="A60" s="400" t="s">
        <v>1544</v>
      </c>
      <c r="B60" s="481" t="s">
        <v>1667</v>
      </c>
      <c r="C60" s="481">
        <v>50000</v>
      </c>
      <c r="D60" s="481">
        <v>50000</v>
      </c>
      <c r="E60" s="481">
        <v>50000</v>
      </c>
      <c r="F60" s="481">
        <v>34860</v>
      </c>
      <c r="G60" s="481">
        <v>63003</v>
      </c>
      <c r="H60" s="481">
        <v>89442</v>
      </c>
      <c r="I60" s="481"/>
      <c r="J60" s="481"/>
      <c r="K60" s="496">
        <f t="shared" si="50"/>
        <v>0.69720000000000004</v>
      </c>
      <c r="L60" s="496">
        <f t="shared" si="51"/>
        <v>1</v>
      </c>
      <c r="M60" s="496">
        <f t="shared" si="52"/>
        <v>1</v>
      </c>
      <c r="N60" s="401"/>
      <c r="O60" s="401"/>
      <c r="P60" s="401"/>
      <c r="Q60" s="401"/>
      <c r="R60" s="401"/>
      <c r="S60" s="401"/>
      <c r="T60" s="401"/>
      <c r="U60" s="401"/>
      <c r="V60" s="401"/>
      <c r="W60" s="401"/>
      <c r="X60" s="481">
        <v>200000</v>
      </c>
      <c r="Y60" s="493">
        <f>SUM(F60:H60)</f>
        <v>187305</v>
      </c>
      <c r="Z60" s="500">
        <f t="shared" si="53"/>
        <v>0.93652500000000005</v>
      </c>
      <c r="AA60" s="496">
        <v>0.5</v>
      </c>
      <c r="AB60" s="496">
        <v>0.5</v>
      </c>
      <c r="AC60" s="496">
        <v>0.5</v>
      </c>
      <c r="AD60" s="402"/>
      <c r="AE60" s="401"/>
      <c r="AF60" s="486"/>
      <c r="AG60" s="891">
        <v>0</v>
      </c>
      <c r="AH60" s="486">
        <f t="shared" si="5"/>
        <v>0</v>
      </c>
      <c r="AI60" s="888">
        <f t="shared" si="6"/>
        <v>0</v>
      </c>
      <c r="AJ60" s="401"/>
      <c r="AK60" s="401"/>
      <c r="AL60" s="401"/>
      <c r="AM60" s="401"/>
      <c r="AN60" s="401" t="e">
        <f t="shared" si="3"/>
        <v>#DIV/0!</v>
      </c>
      <c r="AO60" s="401"/>
      <c r="AP60" s="402"/>
      <c r="AQ60" s="496"/>
      <c r="AR60" s="471"/>
      <c r="AS60" s="475"/>
      <c r="AT60" s="474" t="s">
        <v>557</v>
      </c>
      <c r="AU60" s="476"/>
      <c r="AV60" s="476"/>
      <c r="AW60" s="476"/>
    </row>
    <row r="61" spans="1:49" ht="77.25" thickBot="1" x14ac:dyDescent="0.3">
      <c r="A61" s="555" t="s">
        <v>1545</v>
      </c>
      <c r="B61" s="554" t="s">
        <v>1724</v>
      </c>
      <c r="C61" s="548"/>
      <c r="D61" s="548"/>
      <c r="E61" s="548"/>
      <c r="F61" s="548"/>
      <c r="G61" s="548"/>
      <c r="H61" s="548"/>
      <c r="I61" s="548"/>
      <c r="J61" s="548"/>
      <c r="K61" s="549">
        <f>+(K62*25%)+(K63*25%)+(K65*25%)+(K66*25%)</f>
        <v>1</v>
      </c>
      <c r="L61" s="549">
        <f>+SUMPRODUCT(L62:L66,AB62:AB66)</f>
        <v>1</v>
      </c>
      <c r="M61" s="549">
        <f>+(M62*25%)+(M63*25%)+(M65*25%)+(M66*25%)</f>
        <v>1</v>
      </c>
      <c r="N61" s="570"/>
      <c r="O61" s="570"/>
      <c r="P61" s="570"/>
      <c r="Q61" s="570"/>
      <c r="R61" s="570"/>
      <c r="S61" s="570"/>
      <c r="T61" s="570"/>
      <c r="U61" s="570"/>
      <c r="V61" s="570"/>
      <c r="W61" s="570"/>
      <c r="X61" s="548">
        <v>1</v>
      </c>
      <c r="Y61" s="548"/>
      <c r="Z61" s="549">
        <f>+SUMPRODUCT(Z62:Z66,AA62:AA66)</f>
        <v>0.70000000000000007</v>
      </c>
      <c r="AA61" s="549">
        <v>0.25</v>
      </c>
      <c r="AB61" s="549">
        <v>0.25</v>
      </c>
      <c r="AC61" s="549">
        <v>0.25</v>
      </c>
      <c r="AD61" s="571">
        <v>800000000</v>
      </c>
      <c r="AE61" s="570">
        <v>738475995</v>
      </c>
      <c r="AF61" s="548">
        <f>AE61/AD61</f>
        <v>0.92309499375000004</v>
      </c>
      <c r="AG61" s="570">
        <v>618582500</v>
      </c>
      <c r="AH61" s="548">
        <f t="shared" ref="AH61" si="54">+AG61/AD61</f>
        <v>0.77322812500000004</v>
      </c>
      <c r="AI61" s="886">
        <f>+AE61-AG61</f>
        <v>119893495</v>
      </c>
      <c r="AJ61" s="886">
        <v>200671427</v>
      </c>
      <c r="AK61" s="886">
        <v>200671427</v>
      </c>
      <c r="AL61" s="886">
        <f>25425000+6117857</f>
        <v>31542857</v>
      </c>
      <c r="AM61" s="886">
        <v>31542857</v>
      </c>
      <c r="AN61" s="887">
        <f t="shared" si="3"/>
        <v>1</v>
      </c>
      <c r="AO61" s="570">
        <v>2429292916</v>
      </c>
      <c r="AP61" s="571">
        <v>1756099680</v>
      </c>
      <c r="AQ61" s="549">
        <f>AP61/AO61</f>
        <v>0.72288511131524658</v>
      </c>
      <c r="AR61" s="550"/>
      <c r="AS61" s="551" t="s">
        <v>1483</v>
      </c>
      <c r="AT61" s="552"/>
      <c r="AU61" s="553"/>
      <c r="AV61" s="553"/>
      <c r="AW61" s="553"/>
    </row>
    <row r="62" spans="1:49" ht="51.75" thickBot="1" x14ac:dyDescent="0.3">
      <c r="A62" s="404" t="s">
        <v>1546</v>
      </c>
      <c r="B62" s="481" t="s">
        <v>1672</v>
      </c>
      <c r="C62" s="486">
        <v>1</v>
      </c>
      <c r="D62" s="486">
        <v>1</v>
      </c>
      <c r="E62" s="486">
        <v>1</v>
      </c>
      <c r="F62" s="486">
        <v>1</v>
      </c>
      <c r="G62" s="486">
        <v>1</v>
      </c>
      <c r="H62" s="486">
        <v>1</v>
      </c>
      <c r="I62" s="486"/>
      <c r="J62" s="486"/>
      <c r="K62" s="496">
        <f t="shared" ref="K62:K66" si="55">IF(F62/C62&gt;=100%,100%,F62/C62)</f>
        <v>1</v>
      </c>
      <c r="L62" s="496">
        <f t="shared" ref="L62:L66" si="56">IF(G62/D62&gt;=100%,100%,G62/D62)</f>
        <v>1</v>
      </c>
      <c r="M62" s="496">
        <f t="shared" ref="M62:M66" si="57">IF(H62/E62&gt;=100%,100%,H62/E62)</f>
        <v>1</v>
      </c>
      <c r="N62" s="401"/>
      <c r="O62" s="401"/>
      <c r="P62" s="401"/>
      <c r="Q62" s="401"/>
      <c r="R62" s="401"/>
      <c r="S62" s="401"/>
      <c r="T62" s="401"/>
      <c r="U62" s="401"/>
      <c r="V62" s="401"/>
      <c r="W62" s="401"/>
      <c r="X62" s="486">
        <v>1</v>
      </c>
      <c r="Y62" s="531">
        <f>SUM(F62:H62)/4</f>
        <v>0.75</v>
      </c>
      <c r="Z62" s="532">
        <f t="shared" ref="Z62:Z66" si="58">IF(Y62/X62&gt;=100%,100%,Y62/X62)</f>
        <v>0.75</v>
      </c>
      <c r="AA62" s="496">
        <v>0.2</v>
      </c>
      <c r="AB62" s="496">
        <v>0.2</v>
      </c>
      <c r="AC62" s="496">
        <v>0.25</v>
      </c>
      <c r="AD62" s="402"/>
      <c r="AE62" s="401"/>
      <c r="AF62" s="486"/>
      <c r="AG62" s="401"/>
      <c r="AH62" s="486">
        <f t="shared" si="5"/>
        <v>0</v>
      </c>
      <c r="AI62" s="888">
        <f t="shared" si="6"/>
        <v>0</v>
      </c>
      <c r="AJ62" s="401"/>
      <c r="AK62" s="401"/>
      <c r="AL62" s="401"/>
      <c r="AM62" s="401"/>
      <c r="AN62" s="401" t="e">
        <f t="shared" si="3"/>
        <v>#DIV/0!</v>
      </c>
      <c r="AO62" s="401"/>
      <c r="AP62" s="402"/>
      <c r="AQ62" s="496"/>
      <c r="AR62" s="471"/>
      <c r="AS62" s="475"/>
      <c r="AT62" s="474"/>
      <c r="AU62" s="476"/>
      <c r="AV62" s="476"/>
      <c r="AW62" s="476"/>
    </row>
    <row r="63" spans="1:49" ht="51" x14ac:dyDescent="0.25">
      <c r="A63" s="405" t="s">
        <v>1547</v>
      </c>
      <c r="B63" s="481" t="s">
        <v>1641</v>
      </c>
      <c r="C63" s="481">
        <v>2</v>
      </c>
      <c r="D63" s="481">
        <v>2</v>
      </c>
      <c r="E63" s="481">
        <v>2</v>
      </c>
      <c r="F63" s="481">
        <v>2</v>
      </c>
      <c r="G63" s="481">
        <v>2</v>
      </c>
      <c r="H63" s="481">
        <v>2</v>
      </c>
      <c r="I63" s="481"/>
      <c r="J63" s="481"/>
      <c r="K63" s="496">
        <f t="shared" si="55"/>
        <v>1</v>
      </c>
      <c r="L63" s="496">
        <f t="shared" si="56"/>
        <v>1</v>
      </c>
      <c r="M63" s="496">
        <f t="shared" si="57"/>
        <v>1</v>
      </c>
      <c r="N63" s="401"/>
      <c r="O63" s="401"/>
      <c r="P63" s="401"/>
      <c r="Q63" s="401"/>
      <c r="R63" s="401"/>
      <c r="S63" s="401"/>
      <c r="T63" s="401"/>
      <c r="U63" s="401"/>
      <c r="V63" s="401"/>
      <c r="W63" s="401"/>
      <c r="X63" s="481">
        <v>8</v>
      </c>
      <c r="Y63" s="528">
        <f>SUM(F63:H63)</f>
        <v>6</v>
      </c>
      <c r="Z63" s="530">
        <f t="shared" si="58"/>
        <v>0.75</v>
      </c>
      <c r="AA63" s="496">
        <v>0.2</v>
      </c>
      <c r="AB63" s="496">
        <v>0.2</v>
      </c>
      <c r="AC63" s="496">
        <v>0.25</v>
      </c>
      <c r="AD63" s="402"/>
      <c r="AE63" s="401"/>
      <c r="AF63" s="486"/>
      <c r="AG63" s="401"/>
      <c r="AH63" s="486">
        <f t="shared" si="5"/>
        <v>0</v>
      </c>
      <c r="AI63" s="888">
        <f t="shared" si="6"/>
        <v>0</v>
      </c>
      <c r="AJ63" s="401"/>
      <c r="AK63" s="401"/>
      <c r="AL63" s="401"/>
      <c r="AM63" s="401"/>
      <c r="AN63" s="401" t="e">
        <f t="shared" si="3"/>
        <v>#DIV/0!</v>
      </c>
      <c r="AO63" s="401"/>
      <c r="AP63" s="402"/>
      <c r="AQ63" s="496"/>
      <c r="AR63" s="471"/>
      <c r="AS63" s="475"/>
      <c r="AT63" s="474"/>
      <c r="AU63" s="476"/>
      <c r="AV63" s="476"/>
      <c r="AW63" s="476"/>
    </row>
    <row r="64" spans="1:49" ht="77.25" thickBot="1" x14ac:dyDescent="0.3">
      <c r="A64" s="400" t="s">
        <v>1548</v>
      </c>
      <c r="B64" s="481" t="s">
        <v>1669</v>
      </c>
      <c r="C64" s="487">
        <v>0</v>
      </c>
      <c r="D64" s="481">
        <v>1</v>
      </c>
      <c r="E64" s="481"/>
      <c r="F64" s="481"/>
      <c r="G64" s="481">
        <v>1</v>
      </c>
      <c r="H64" s="481"/>
      <c r="I64" s="481"/>
      <c r="J64" s="481"/>
      <c r="K64" s="496" t="e">
        <f t="shared" si="55"/>
        <v>#DIV/0!</v>
      </c>
      <c r="L64" s="496">
        <f t="shared" si="56"/>
        <v>1</v>
      </c>
      <c r="M64" s="496" t="e">
        <f t="shared" si="57"/>
        <v>#DIV/0!</v>
      </c>
      <c r="N64" s="401"/>
      <c r="O64" s="401"/>
      <c r="P64" s="401"/>
      <c r="Q64" s="401"/>
      <c r="R64" s="401"/>
      <c r="S64" s="401"/>
      <c r="T64" s="401"/>
      <c r="U64" s="401"/>
      <c r="V64" s="401"/>
      <c r="W64" s="401"/>
      <c r="X64" s="481">
        <v>2</v>
      </c>
      <c r="Y64" s="512">
        <f>SUM(F64:H64)</f>
        <v>1</v>
      </c>
      <c r="Z64" s="502">
        <f t="shared" si="58"/>
        <v>0.5</v>
      </c>
      <c r="AA64" s="496">
        <v>0.2</v>
      </c>
      <c r="AB64" s="496">
        <v>0.2</v>
      </c>
      <c r="AC64" s="496">
        <v>0</v>
      </c>
      <c r="AD64" s="402"/>
      <c r="AE64" s="401"/>
      <c r="AF64" s="486"/>
      <c r="AG64" s="401"/>
      <c r="AH64" s="486">
        <f t="shared" si="5"/>
        <v>0</v>
      </c>
      <c r="AI64" s="888">
        <f t="shared" si="6"/>
        <v>0</v>
      </c>
      <c r="AJ64" s="401"/>
      <c r="AK64" s="401"/>
      <c r="AL64" s="401"/>
      <c r="AM64" s="401"/>
      <c r="AN64" s="401" t="e">
        <f t="shared" si="3"/>
        <v>#DIV/0!</v>
      </c>
      <c r="AO64" s="401"/>
      <c r="AP64" s="402"/>
      <c r="AQ64" s="496"/>
      <c r="AR64" s="471"/>
      <c r="AS64" s="475"/>
      <c r="AT64" s="474" t="s">
        <v>557</v>
      </c>
      <c r="AU64" s="476"/>
      <c r="AV64" s="476"/>
      <c r="AW64" s="476"/>
    </row>
    <row r="65" spans="1:49" ht="89.25" x14ac:dyDescent="0.25">
      <c r="A65" s="406" t="s">
        <v>1549</v>
      </c>
      <c r="B65" s="481" t="s">
        <v>1670</v>
      </c>
      <c r="C65" s="486">
        <v>1</v>
      </c>
      <c r="D65" s="486">
        <v>1</v>
      </c>
      <c r="E65" s="486">
        <v>1</v>
      </c>
      <c r="F65" s="486">
        <v>1</v>
      </c>
      <c r="G65" s="486">
        <v>1</v>
      </c>
      <c r="H65" s="486">
        <v>1</v>
      </c>
      <c r="I65" s="486"/>
      <c r="J65" s="486"/>
      <c r="K65" s="496">
        <f t="shared" si="55"/>
        <v>1</v>
      </c>
      <c r="L65" s="496">
        <f t="shared" si="56"/>
        <v>1</v>
      </c>
      <c r="M65" s="496">
        <f t="shared" si="57"/>
        <v>1</v>
      </c>
      <c r="N65" s="401"/>
      <c r="O65" s="401"/>
      <c r="P65" s="401"/>
      <c r="Q65" s="401"/>
      <c r="R65" s="401"/>
      <c r="S65" s="401"/>
      <c r="T65" s="401"/>
      <c r="U65" s="401"/>
      <c r="V65" s="401"/>
      <c r="W65" s="401"/>
      <c r="X65" s="486">
        <v>1</v>
      </c>
      <c r="Y65" s="526">
        <f>SUM(F65:H65)/4</f>
        <v>0.75</v>
      </c>
      <c r="Z65" s="527">
        <f t="shared" si="58"/>
        <v>0.75</v>
      </c>
      <c r="AA65" s="496">
        <v>0.2</v>
      </c>
      <c r="AB65" s="496">
        <v>0.2</v>
      </c>
      <c r="AC65" s="496">
        <v>0.25</v>
      </c>
      <c r="AD65" s="402"/>
      <c r="AE65" s="401"/>
      <c r="AF65" s="486"/>
      <c r="AG65" s="401"/>
      <c r="AH65" s="486">
        <f t="shared" si="5"/>
        <v>0</v>
      </c>
      <c r="AI65" s="888">
        <f t="shared" si="6"/>
        <v>0</v>
      </c>
      <c r="AJ65" s="401"/>
      <c r="AK65" s="401"/>
      <c r="AL65" s="401"/>
      <c r="AM65" s="401"/>
      <c r="AN65" s="401" t="e">
        <f t="shared" si="3"/>
        <v>#DIV/0!</v>
      </c>
      <c r="AO65" s="401"/>
      <c r="AP65" s="402"/>
      <c r="AQ65" s="496"/>
      <c r="AR65" s="471"/>
      <c r="AS65" s="475"/>
      <c r="AT65" s="474" t="s">
        <v>480</v>
      </c>
      <c r="AU65" s="476"/>
      <c r="AV65" s="476"/>
      <c r="AW65" s="476"/>
    </row>
    <row r="66" spans="1:49" ht="102.75" thickBot="1" x14ac:dyDescent="0.3">
      <c r="A66" s="400" t="s">
        <v>1550</v>
      </c>
      <c r="B66" s="481" t="s">
        <v>1671</v>
      </c>
      <c r="C66" s="486">
        <v>1</v>
      </c>
      <c r="D66" s="486">
        <v>1</v>
      </c>
      <c r="E66" s="486">
        <v>1</v>
      </c>
      <c r="F66" s="486">
        <v>1</v>
      </c>
      <c r="G66" s="486">
        <v>1</v>
      </c>
      <c r="H66" s="486">
        <v>1</v>
      </c>
      <c r="I66" s="486"/>
      <c r="J66" s="486"/>
      <c r="K66" s="496">
        <f t="shared" si="55"/>
        <v>1</v>
      </c>
      <c r="L66" s="496">
        <f t="shared" si="56"/>
        <v>1</v>
      </c>
      <c r="M66" s="496">
        <f t="shared" si="57"/>
        <v>1</v>
      </c>
      <c r="N66" s="401"/>
      <c r="O66" s="401"/>
      <c r="P66" s="401"/>
      <c r="Q66" s="401"/>
      <c r="R66" s="401"/>
      <c r="S66" s="401"/>
      <c r="T66" s="401"/>
      <c r="U66" s="401"/>
      <c r="V66" s="401"/>
      <c r="W66" s="401"/>
      <c r="X66" s="486">
        <v>1</v>
      </c>
      <c r="Y66" s="489">
        <f>SUM(F66:H66)/4</f>
        <v>0.75</v>
      </c>
      <c r="Z66" s="492">
        <f t="shared" si="58"/>
        <v>0.75</v>
      </c>
      <c r="AA66" s="496">
        <v>0.2</v>
      </c>
      <c r="AB66" s="496">
        <v>0.2</v>
      </c>
      <c r="AC66" s="496">
        <v>0.25</v>
      </c>
      <c r="AD66" s="402"/>
      <c r="AE66" s="401"/>
      <c r="AF66" s="486"/>
      <c r="AG66" s="401"/>
      <c r="AH66" s="486">
        <f t="shared" si="5"/>
        <v>0</v>
      </c>
      <c r="AI66" s="888">
        <f t="shared" si="6"/>
        <v>0</v>
      </c>
      <c r="AJ66" s="401"/>
      <c r="AK66" s="401"/>
      <c r="AL66" s="401"/>
      <c r="AM66" s="401"/>
      <c r="AN66" s="401" t="e">
        <f t="shared" si="3"/>
        <v>#DIV/0!</v>
      </c>
      <c r="AO66" s="401"/>
      <c r="AP66" s="402"/>
      <c r="AQ66" s="496"/>
      <c r="AR66" s="471"/>
      <c r="AS66" s="475"/>
      <c r="AT66" s="474" t="s">
        <v>526</v>
      </c>
      <c r="AU66" s="476"/>
      <c r="AV66" s="476"/>
      <c r="AW66" s="476"/>
    </row>
    <row r="67" spans="1:49" ht="76.5" x14ac:dyDescent="0.25">
      <c r="A67" s="555" t="s">
        <v>1551</v>
      </c>
      <c r="B67" s="554" t="s">
        <v>1724</v>
      </c>
      <c r="C67" s="548"/>
      <c r="D67" s="548"/>
      <c r="E67" s="548"/>
      <c r="F67" s="548"/>
      <c r="G67" s="548"/>
      <c r="H67" s="548"/>
      <c r="I67" s="548"/>
      <c r="J67" s="548"/>
      <c r="K67" s="549">
        <f>+(K68*50%)+(K69*50%)</f>
        <v>1</v>
      </c>
      <c r="L67" s="549">
        <f>+SUMPRODUCT(L68:L69,AB68:AB69)</f>
        <v>1</v>
      </c>
      <c r="M67" s="549">
        <f>+SUMPRODUCT(M68:M69,AC68:AC69)</f>
        <v>1</v>
      </c>
      <c r="N67" s="570"/>
      <c r="O67" s="570"/>
      <c r="P67" s="570"/>
      <c r="Q67" s="570"/>
      <c r="R67" s="570"/>
      <c r="S67" s="570"/>
      <c r="T67" s="570"/>
      <c r="U67" s="570"/>
      <c r="V67" s="570"/>
      <c r="W67" s="570"/>
      <c r="X67" s="548">
        <v>1</v>
      </c>
      <c r="Y67" s="548"/>
      <c r="Z67" s="549">
        <f>+SUMPRODUCT(Z68:Z69,AA68:AA69)</f>
        <v>0.875</v>
      </c>
      <c r="AA67" s="549">
        <v>0.25</v>
      </c>
      <c r="AB67" s="549">
        <v>0.25</v>
      </c>
      <c r="AC67" s="549">
        <v>0.25</v>
      </c>
      <c r="AD67" s="571">
        <v>13307107458</v>
      </c>
      <c r="AE67" s="570">
        <v>13307107289</v>
      </c>
      <c r="AF67" s="548">
        <f>AE67/AD67</f>
        <v>0.99999998730001993</v>
      </c>
      <c r="AG67" s="570">
        <v>13221086690</v>
      </c>
      <c r="AH67" s="548">
        <f t="shared" ref="AH67" si="59">+AG67/AD67</f>
        <v>0.9935357275597646</v>
      </c>
      <c r="AI67" s="886">
        <f>+AE67-AG67</f>
        <v>86020599</v>
      </c>
      <c r="AJ67" s="886">
        <v>8727678226</v>
      </c>
      <c r="AK67" s="886">
        <v>8727564490</v>
      </c>
      <c r="AL67" s="886">
        <v>3457191607</v>
      </c>
      <c r="AM67" s="886">
        <v>3457191607</v>
      </c>
      <c r="AN67" s="887">
        <f t="shared" si="3"/>
        <v>1</v>
      </c>
      <c r="AO67" s="570">
        <v>45866909377</v>
      </c>
      <c r="AP67" s="571">
        <v>27682191795</v>
      </c>
      <c r="AQ67" s="549">
        <f>AP67/AO67</f>
        <v>0.60353296463618411</v>
      </c>
      <c r="AR67" s="550"/>
      <c r="AS67" s="551" t="s">
        <v>1483</v>
      </c>
      <c r="AT67" s="552"/>
      <c r="AU67" s="553"/>
      <c r="AV67" s="553"/>
      <c r="AW67" s="553"/>
    </row>
    <row r="68" spans="1:49" ht="38.25" x14ac:dyDescent="0.25">
      <c r="A68" s="405" t="s">
        <v>1552</v>
      </c>
      <c r="B68" s="481" t="s">
        <v>1673</v>
      </c>
      <c r="C68" s="481">
        <v>5</v>
      </c>
      <c r="D68" s="481">
        <v>3</v>
      </c>
      <c r="E68" s="481">
        <v>2</v>
      </c>
      <c r="F68" s="481">
        <v>5</v>
      </c>
      <c r="G68" s="481">
        <v>5</v>
      </c>
      <c r="H68" s="481">
        <v>2</v>
      </c>
      <c r="I68" s="481"/>
      <c r="J68" s="481"/>
      <c r="K68" s="496">
        <f t="shared" ref="K68:K69" si="60">IF(F68/C68&gt;=100%,100%,F68/C68)</f>
        <v>1</v>
      </c>
      <c r="L68" s="496">
        <f t="shared" ref="L68:L69" si="61">IF(G68/D68&gt;=100%,100%,G68/D68)</f>
        <v>1</v>
      </c>
      <c r="M68" s="496">
        <f t="shared" ref="M68:M69" si="62">IF(H68/E68&gt;=100%,100%,H68/E68)</f>
        <v>1</v>
      </c>
      <c r="N68" s="401"/>
      <c r="O68" s="401"/>
      <c r="P68" s="401"/>
      <c r="Q68" s="401"/>
      <c r="R68" s="401"/>
      <c r="S68" s="401"/>
      <c r="T68" s="401"/>
      <c r="U68" s="401"/>
      <c r="V68" s="401"/>
      <c r="W68" s="401"/>
      <c r="X68" s="481">
        <v>12</v>
      </c>
      <c r="Y68" s="493">
        <f>SUM(F68:H68)</f>
        <v>12</v>
      </c>
      <c r="Z68" s="500">
        <f t="shared" ref="Z68:Z69" si="63">IF(Y68/X68&gt;=100%,100%,Y68/X68)</f>
        <v>1</v>
      </c>
      <c r="AA68" s="496">
        <v>0.5</v>
      </c>
      <c r="AB68" s="496">
        <v>0.5</v>
      </c>
      <c r="AC68" s="496">
        <v>0.5</v>
      </c>
      <c r="AD68" s="402"/>
      <c r="AE68" s="401"/>
      <c r="AF68" s="486"/>
      <c r="AG68" s="401"/>
      <c r="AH68" s="486">
        <f t="shared" si="5"/>
        <v>0</v>
      </c>
      <c r="AI68" s="888">
        <f t="shared" si="6"/>
        <v>0</v>
      </c>
      <c r="AJ68" s="401"/>
      <c r="AK68" s="401"/>
      <c r="AL68" s="401"/>
      <c r="AM68" s="401"/>
      <c r="AN68" s="401" t="e">
        <f t="shared" si="3"/>
        <v>#DIV/0!</v>
      </c>
      <c r="AO68" s="401"/>
      <c r="AP68" s="402"/>
      <c r="AQ68" s="496"/>
      <c r="AR68" s="471"/>
      <c r="AS68" s="475"/>
      <c r="AT68" s="474"/>
      <c r="AU68" s="476"/>
      <c r="AV68" s="476"/>
      <c r="AW68" s="476"/>
    </row>
    <row r="69" spans="1:49" ht="51" x14ac:dyDescent="0.25">
      <c r="A69" s="400" t="s">
        <v>1553</v>
      </c>
      <c r="B69" s="483" t="s">
        <v>1674</v>
      </c>
      <c r="C69" s="483">
        <v>1</v>
      </c>
      <c r="D69" s="483">
        <v>1</v>
      </c>
      <c r="E69" s="483">
        <v>1</v>
      </c>
      <c r="F69" s="483">
        <v>1</v>
      </c>
      <c r="G69" s="483">
        <v>1</v>
      </c>
      <c r="H69" s="483">
        <v>1</v>
      </c>
      <c r="I69" s="483"/>
      <c r="J69" s="483"/>
      <c r="K69" s="496">
        <f t="shared" si="60"/>
        <v>1</v>
      </c>
      <c r="L69" s="496">
        <f t="shared" si="61"/>
        <v>1</v>
      </c>
      <c r="M69" s="496">
        <f t="shared" si="62"/>
        <v>1</v>
      </c>
      <c r="N69" s="407"/>
      <c r="O69" s="407"/>
      <c r="P69" s="407"/>
      <c r="Q69" s="407"/>
      <c r="R69" s="407"/>
      <c r="S69" s="407"/>
      <c r="T69" s="407"/>
      <c r="U69" s="407"/>
      <c r="V69" s="407"/>
      <c r="W69" s="407"/>
      <c r="X69" s="483">
        <v>4</v>
      </c>
      <c r="Y69" s="512">
        <f>SUM(F69:H69)</f>
        <v>3</v>
      </c>
      <c r="Z69" s="502">
        <f t="shared" si="63"/>
        <v>0.75</v>
      </c>
      <c r="AA69" s="497">
        <v>0.5</v>
      </c>
      <c r="AB69" s="497">
        <v>0.5</v>
      </c>
      <c r="AC69" s="497">
        <v>0.5</v>
      </c>
      <c r="AD69" s="408"/>
      <c r="AE69" s="407"/>
      <c r="AF69" s="488"/>
      <c r="AG69" s="407"/>
      <c r="AH69" s="488">
        <f t="shared" si="5"/>
        <v>0</v>
      </c>
      <c r="AI69" s="888">
        <f t="shared" si="6"/>
        <v>0</v>
      </c>
      <c r="AJ69" s="407"/>
      <c r="AK69" s="407"/>
      <c r="AL69" s="407"/>
      <c r="AM69" s="407"/>
      <c r="AN69" s="407" t="e">
        <f t="shared" si="3"/>
        <v>#DIV/0!</v>
      </c>
      <c r="AO69" s="407"/>
      <c r="AP69" s="408"/>
      <c r="AQ69" s="497"/>
      <c r="AR69" s="472"/>
      <c r="AS69" s="475"/>
      <c r="AT69" s="474"/>
      <c r="AU69" s="476"/>
      <c r="AV69" s="476"/>
      <c r="AW69" s="476"/>
    </row>
    <row r="70" spans="1:49" ht="76.5" x14ac:dyDescent="0.25">
      <c r="A70" s="555" t="s">
        <v>1554</v>
      </c>
      <c r="B70" s="554" t="s">
        <v>1724</v>
      </c>
      <c r="C70" s="548"/>
      <c r="D70" s="548"/>
      <c r="E70" s="548"/>
      <c r="F70" s="548"/>
      <c r="G70" s="548"/>
      <c r="H70" s="548"/>
      <c r="I70" s="548"/>
      <c r="J70" s="548"/>
      <c r="K70" s="549">
        <f>(+K71)</f>
        <v>1</v>
      </c>
      <c r="L70" s="549">
        <f>+(L71*AB71)+(L73*AB73)</f>
        <v>1</v>
      </c>
      <c r="M70" s="549">
        <f>+(M71*AC71)+(M72*AC72)</f>
        <v>1</v>
      </c>
      <c r="N70" s="570"/>
      <c r="O70" s="570"/>
      <c r="P70" s="570"/>
      <c r="Q70" s="570"/>
      <c r="R70" s="570"/>
      <c r="S70" s="570"/>
      <c r="T70" s="570"/>
      <c r="U70" s="570"/>
      <c r="V70" s="570"/>
      <c r="W70" s="570"/>
      <c r="X70" s="548">
        <v>1</v>
      </c>
      <c r="Y70" s="548"/>
      <c r="Z70" s="549">
        <f>+SUMPRODUCT(Z71:Z74,AA71:AA74)</f>
        <v>0.5625</v>
      </c>
      <c r="AA70" s="549">
        <v>0.25</v>
      </c>
      <c r="AB70" s="549">
        <v>0.25</v>
      </c>
      <c r="AC70" s="549">
        <v>0.25</v>
      </c>
      <c r="AD70" s="571">
        <v>240000000</v>
      </c>
      <c r="AE70" s="570">
        <v>90000000</v>
      </c>
      <c r="AF70" s="548">
        <f>AE70/AD70</f>
        <v>0.375</v>
      </c>
      <c r="AG70" s="570">
        <v>90000000</v>
      </c>
      <c r="AH70" s="548">
        <f t="shared" ref="AH70" si="64">+AG70/AD70</f>
        <v>0.375</v>
      </c>
      <c r="AI70" s="886">
        <f>+AE70-AG70</f>
        <v>0</v>
      </c>
      <c r="AJ70" s="905">
        <v>0</v>
      </c>
      <c r="AK70" s="905">
        <v>0</v>
      </c>
      <c r="AL70" s="905">
        <v>0</v>
      </c>
      <c r="AM70" s="905">
        <v>0</v>
      </c>
      <c r="AN70" s="887" t="e">
        <f t="shared" si="3"/>
        <v>#DIV/0!</v>
      </c>
      <c r="AO70" s="570">
        <v>318669810</v>
      </c>
      <c r="AP70" s="571">
        <v>126000000</v>
      </c>
      <c r="AQ70" s="549">
        <f>AP70/AO70</f>
        <v>0.39539358937076591</v>
      </c>
      <c r="AR70" s="550"/>
      <c r="AS70" s="551" t="s">
        <v>1483</v>
      </c>
      <c r="AT70" s="552"/>
      <c r="AU70" s="553"/>
      <c r="AV70" s="553"/>
      <c r="AW70" s="553"/>
    </row>
    <row r="71" spans="1:49" ht="76.5" x14ac:dyDescent="0.25">
      <c r="A71" s="400" t="s">
        <v>1555</v>
      </c>
      <c r="B71" s="483" t="s">
        <v>1641</v>
      </c>
      <c r="C71" s="483">
        <v>1</v>
      </c>
      <c r="D71" s="483">
        <v>1</v>
      </c>
      <c r="E71" s="483">
        <v>1</v>
      </c>
      <c r="F71" s="483">
        <v>1</v>
      </c>
      <c r="G71" s="483">
        <v>1</v>
      </c>
      <c r="H71" s="483">
        <v>1</v>
      </c>
      <c r="I71" s="483"/>
      <c r="J71" s="483"/>
      <c r="K71" s="496">
        <f t="shared" ref="K71:K74" si="65">IF(F71/C71&gt;=100%,100%,F71/C71)</f>
        <v>1</v>
      </c>
      <c r="L71" s="496">
        <f t="shared" ref="L71:L74" si="66">IF(G71/D71&gt;=100%,100%,G71/D71)</f>
        <v>1</v>
      </c>
      <c r="M71" s="496">
        <f t="shared" ref="M71:M74" si="67">IF(H71/E71&gt;=100%,100%,H71/E71)</f>
        <v>1</v>
      </c>
      <c r="N71" s="407"/>
      <c r="O71" s="407"/>
      <c r="P71" s="407"/>
      <c r="Q71" s="407"/>
      <c r="R71" s="407"/>
      <c r="S71" s="407"/>
      <c r="T71" s="407"/>
      <c r="U71" s="407"/>
      <c r="V71" s="407"/>
      <c r="W71" s="407"/>
      <c r="X71" s="483">
        <v>4</v>
      </c>
      <c r="Y71" s="512">
        <f>SUM(F71:H71)</f>
        <v>3</v>
      </c>
      <c r="Z71" s="502">
        <f t="shared" ref="Z71:Z74" si="68">IF(Y71/X71&gt;=100%,100%,Y71/X71)</f>
        <v>0.75</v>
      </c>
      <c r="AA71" s="497">
        <v>0.25</v>
      </c>
      <c r="AB71" s="497">
        <v>0.5</v>
      </c>
      <c r="AC71" s="497">
        <v>0.5</v>
      </c>
      <c r="AD71" s="408"/>
      <c r="AE71" s="407"/>
      <c r="AF71" s="488"/>
      <c r="AG71" s="407"/>
      <c r="AH71" s="488">
        <f t="shared" si="5"/>
        <v>0</v>
      </c>
      <c r="AI71" s="888">
        <f t="shared" si="6"/>
        <v>0</v>
      </c>
      <c r="AJ71" s="407"/>
      <c r="AK71" s="407"/>
      <c r="AL71" s="407"/>
      <c r="AM71" s="407"/>
      <c r="AN71" s="407" t="e">
        <f t="shared" si="3"/>
        <v>#DIV/0!</v>
      </c>
      <c r="AO71" s="407"/>
      <c r="AP71" s="408"/>
      <c r="AQ71" s="497"/>
      <c r="AR71" s="472"/>
      <c r="AS71" s="475"/>
      <c r="AT71" s="474" t="s">
        <v>449</v>
      </c>
      <c r="AU71" s="476"/>
      <c r="AV71" s="476"/>
      <c r="AW71" s="476"/>
    </row>
    <row r="72" spans="1:49" ht="76.5" x14ac:dyDescent="0.25">
      <c r="A72" s="400" t="s">
        <v>1556</v>
      </c>
      <c r="B72" s="481" t="s">
        <v>1641</v>
      </c>
      <c r="C72" s="487">
        <v>0</v>
      </c>
      <c r="D72" s="487">
        <v>0</v>
      </c>
      <c r="E72" s="483">
        <v>1</v>
      </c>
      <c r="F72" s="483"/>
      <c r="G72" s="483"/>
      <c r="H72" s="483">
        <v>1</v>
      </c>
      <c r="I72" s="481"/>
      <c r="J72" s="481"/>
      <c r="K72" s="496" t="e">
        <f t="shared" si="65"/>
        <v>#DIV/0!</v>
      </c>
      <c r="L72" s="496" t="e">
        <f t="shared" si="66"/>
        <v>#DIV/0!</v>
      </c>
      <c r="M72" s="496">
        <f t="shared" si="67"/>
        <v>1</v>
      </c>
      <c r="N72" s="401"/>
      <c r="O72" s="401"/>
      <c r="P72" s="401"/>
      <c r="Q72" s="401"/>
      <c r="R72" s="401"/>
      <c r="S72" s="401"/>
      <c r="T72" s="401"/>
      <c r="U72" s="401"/>
      <c r="V72" s="401"/>
      <c r="W72" s="401"/>
      <c r="X72" s="481">
        <v>2</v>
      </c>
      <c r="Y72" s="493">
        <f>SUM(F72:H72)</f>
        <v>1</v>
      </c>
      <c r="Z72" s="500">
        <f t="shared" si="68"/>
        <v>0.5</v>
      </c>
      <c r="AA72" s="496">
        <v>0.25</v>
      </c>
      <c r="AB72" s="496">
        <v>0</v>
      </c>
      <c r="AC72" s="496">
        <v>0.5</v>
      </c>
      <c r="AD72" s="402"/>
      <c r="AE72" s="401"/>
      <c r="AF72" s="486"/>
      <c r="AG72" s="401"/>
      <c r="AH72" s="486" t="e">
        <f t="shared" si="5"/>
        <v>#DIV/0!</v>
      </c>
      <c r="AI72" s="888">
        <f t="shared" si="6"/>
        <v>0</v>
      </c>
      <c r="AJ72" s="401"/>
      <c r="AK72" s="401"/>
      <c r="AL72" s="401"/>
      <c r="AM72" s="401"/>
      <c r="AN72" s="401" t="e">
        <f t="shared" si="3"/>
        <v>#DIV/0!</v>
      </c>
      <c r="AO72" s="401"/>
      <c r="AP72" s="402"/>
      <c r="AQ72" s="496"/>
      <c r="AR72" s="471"/>
      <c r="AS72" s="475"/>
      <c r="AT72" s="474" t="s">
        <v>449</v>
      </c>
      <c r="AU72" s="476"/>
      <c r="AV72" s="476"/>
      <c r="AW72" s="476"/>
    </row>
    <row r="73" spans="1:49" ht="127.5" x14ac:dyDescent="0.25">
      <c r="A73" s="400" t="s">
        <v>1557</v>
      </c>
      <c r="B73" s="481" t="s">
        <v>1675</v>
      </c>
      <c r="C73" s="487">
        <v>0</v>
      </c>
      <c r="D73" s="483">
        <v>1</v>
      </c>
      <c r="E73" s="483"/>
      <c r="F73" s="483"/>
      <c r="G73" s="483">
        <v>1</v>
      </c>
      <c r="H73" s="483"/>
      <c r="I73" s="481"/>
      <c r="J73" s="481"/>
      <c r="K73" s="496" t="e">
        <f t="shared" si="65"/>
        <v>#DIV/0!</v>
      </c>
      <c r="L73" s="496">
        <f t="shared" si="66"/>
        <v>1</v>
      </c>
      <c r="M73" s="496" t="e">
        <f t="shared" si="67"/>
        <v>#DIV/0!</v>
      </c>
      <c r="N73" s="401"/>
      <c r="O73" s="401"/>
      <c r="P73" s="401"/>
      <c r="Q73" s="401"/>
      <c r="R73" s="401"/>
      <c r="S73" s="401"/>
      <c r="T73" s="401"/>
      <c r="U73" s="401"/>
      <c r="V73" s="401"/>
      <c r="W73" s="401"/>
      <c r="X73" s="481">
        <v>1</v>
      </c>
      <c r="Y73" s="493">
        <f>SUM(F73:H73)</f>
        <v>1</v>
      </c>
      <c r="Z73" s="500">
        <f t="shared" si="68"/>
        <v>1</v>
      </c>
      <c r="AA73" s="496">
        <v>0.25</v>
      </c>
      <c r="AB73" s="496">
        <v>0.5</v>
      </c>
      <c r="AC73" s="496">
        <v>0</v>
      </c>
      <c r="AD73" s="402"/>
      <c r="AE73" s="401"/>
      <c r="AF73" s="486"/>
      <c r="AG73" s="401"/>
      <c r="AH73" s="486">
        <f t="shared" ref="AH73:AH136" si="69">+AG73/AB73</f>
        <v>0</v>
      </c>
      <c r="AI73" s="888">
        <f t="shared" si="6"/>
        <v>0</v>
      </c>
      <c r="AJ73" s="401"/>
      <c r="AK73" s="401"/>
      <c r="AL73" s="401"/>
      <c r="AM73" s="401"/>
      <c r="AN73" s="401" t="e">
        <f t="shared" si="3"/>
        <v>#DIV/0!</v>
      </c>
      <c r="AO73" s="401"/>
      <c r="AP73" s="402"/>
      <c r="AQ73" s="496"/>
      <c r="AR73" s="471"/>
      <c r="AS73" s="475"/>
      <c r="AT73" s="474" t="s">
        <v>348</v>
      </c>
      <c r="AU73" s="476"/>
      <c r="AV73" s="476"/>
      <c r="AW73" s="476"/>
    </row>
    <row r="74" spans="1:49" ht="39" thickBot="1" x14ac:dyDescent="0.3">
      <c r="A74" s="480" t="s">
        <v>1558</v>
      </c>
      <c r="B74" s="482" t="s">
        <v>1676</v>
      </c>
      <c r="C74" s="487">
        <v>0</v>
      </c>
      <c r="D74" s="487">
        <v>0</v>
      </c>
      <c r="E74" s="483">
        <v>0</v>
      </c>
      <c r="F74" s="483"/>
      <c r="G74" s="483"/>
      <c r="H74" s="483">
        <v>0</v>
      </c>
      <c r="I74" s="482"/>
      <c r="J74" s="483"/>
      <c r="K74" s="496" t="e">
        <f t="shared" si="65"/>
        <v>#DIV/0!</v>
      </c>
      <c r="L74" s="496" t="e">
        <f t="shared" si="66"/>
        <v>#DIV/0!</v>
      </c>
      <c r="M74" s="496" t="e">
        <f t="shared" si="67"/>
        <v>#DIV/0!</v>
      </c>
      <c r="N74" s="411"/>
      <c r="O74" s="411"/>
      <c r="P74" s="411"/>
      <c r="Q74" s="411"/>
      <c r="R74" s="411"/>
      <c r="S74" s="411"/>
      <c r="T74" s="411"/>
      <c r="U74" s="411"/>
      <c r="V74" s="411"/>
      <c r="W74" s="411"/>
      <c r="X74" s="482">
        <v>1</v>
      </c>
      <c r="Y74" s="494">
        <f>SUM(F74:H74)</f>
        <v>0</v>
      </c>
      <c r="Z74" s="501">
        <f t="shared" si="68"/>
        <v>0</v>
      </c>
      <c r="AA74" s="492">
        <v>0.25</v>
      </c>
      <c r="AB74" s="492">
        <v>0</v>
      </c>
      <c r="AC74" s="492">
        <v>0</v>
      </c>
      <c r="AD74" s="412"/>
      <c r="AE74" s="411"/>
      <c r="AF74" s="489"/>
      <c r="AG74" s="411"/>
      <c r="AH74" s="489" t="e">
        <f t="shared" si="69"/>
        <v>#DIV/0!</v>
      </c>
      <c r="AI74" s="888">
        <f t="shared" si="6"/>
        <v>0</v>
      </c>
      <c r="AJ74" s="411"/>
      <c r="AK74" s="411"/>
      <c r="AL74" s="411"/>
      <c r="AM74" s="411"/>
      <c r="AN74" s="411" t="e">
        <f t="shared" ref="AN74:AN137" si="70">+AM74/AL74</f>
        <v>#DIV/0!</v>
      </c>
      <c r="AO74" s="411"/>
      <c r="AP74" s="412"/>
      <c r="AQ74" s="492"/>
      <c r="AR74" s="473"/>
      <c r="AS74" s="477"/>
      <c r="AT74" s="478"/>
      <c r="AU74" s="479"/>
      <c r="AV74" s="479"/>
      <c r="AW74" s="479"/>
    </row>
    <row r="75" spans="1:49" ht="38.25" x14ac:dyDescent="0.25">
      <c r="A75" s="556" t="s">
        <v>1559</v>
      </c>
      <c r="B75" s="540"/>
      <c r="C75" s="541"/>
      <c r="D75" s="541"/>
      <c r="E75" s="541"/>
      <c r="F75" s="541"/>
      <c r="G75" s="541"/>
      <c r="H75" s="541"/>
      <c r="I75" s="541"/>
      <c r="J75" s="541"/>
      <c r="K75" s="541">
        <f>+(K76*AA76)+(K83*AA83)</f>
        <v>1</v>
      </c>
      <c r="L75" s="541">
        <f>+(L76*AA76)+(L83*AA83)</f>
        <v>0.9</v>
      </c>
      <c r="M75" s="541">
        <f>+(M76*AC76)+(M83*AC83)</f>
        <v>0.74374999999999991</v>
      </c>
      <c r="N75" s="883"/>
      <c r="O75" s="883"/>
      <c r="P75" s="883"/>
      <c r="Q75" s="883"/>
      <c r="R75" s="883"/>
      <c r="S75" s="883"/>
      <c r="T75" s="883"/>
      <c r="U75" s="883"/>
      <c r="V75" s="883"/>
      <c r="W75" s="883"/>
      <c r="X75" s="541">
        <v>1</v>
      </c>
      <c r="Y75" s="541"/>
      <c r="Z75" s="541">
        <f>+(Z76*AA76)+(Z83*AA83)</f>
        <v>0.47849999999999998</v>
      </c>
      <c r="AA75" s="574">
        <v>0.15</v>
      </c>
      <c r="AB75" s="574">
        <v>0.15</v>
      </c>
      <c r="AC75" s="574">
        <v>0.15</v>
      </c>
      <c r="AD75" s="542">
        <f>SUM(AD76:AD94)</f>
        <v>10441786615</v>
      </c>
      <c r="AE75" s="542">
        <f>SUM(AE76:AE94)</f>
        <v>2711324587</v>
      </c>
      <c r="AF75" s="543">
        <f>AE75/AD75</f>
        <v>0.25966098398382181</v>
      </c>
      <c r="AG75" s="542">
        <f t="shared" ref="AG75" si="71">AG76+AG83</f>
        <v>1730603003</v>
      </c>
      <c r="AH75" s="543">
        <f t="shared" ref="AH75:AH76" si="72">+AG75/AD75</f>
        <v>0.16573820810644865</v>
      </c>
      <c r="AI75" s="542">
        <f>AI76+AI83</f>
        <v>980721584</v>
      </c>
      <c r="AJ75" s="542">
        <f>AJ76+AJ83</f>
        <v>459100000</v>
      </c>
      <c r="AK75" s="542">
        <f>AK76+AK83</f>
        <v>459100000</v>
      </c>
      <c r="AL75" s="542">
        <f>AL76+AL83</f>
        <v>559181893</v>
      </c>
      <c r="AM75" s="542">
        <f>AM76+AM83</f>
        <v>559181892</v>
      </c>
      <c r="AN75" s="893">
        <f t="shared" si="70"/>
        <v>0.99999999821167318</v>
      </c>
      <c r="AO75" s="542">
        <f>SUM(AO76:AO94)</f>
        <v>26804182720</v>
      </c>
      <c r="AP75" s="542">
        <f>SUM(AP76:AP94)</f>
        <v>5436202288</v>
      </c>
      <c r="AQ75" s="582">
        <f>AP75/AO75</f>
        <v>0.20281171579776486</v>
      </c>
      <c r="AR75" s="544"/>
      <c r="AS75" s="545" t="s">
        <v>1484</v>
      </c>
      <c r="AT75" s="544"/>
      <c r="AU75" s="546" t="s">
        <v>1762</v>
      </c>
      <c r="AV75" s="546" t="s">
        <v>1762</v>
      </c>
      <c r="AW75" s="546" t="s">
        <v>1762</v>
      </c>
    </row>
    <row r="76" spans="1:49" ht="38.25" x14ac:dyDescent="0.25">
      <c r="A76" s="555" t="s">
        <v>1560</v>
      </c>
      <c r="B76" s="554" t="s">
        <v>1724</v>
      </c>
      <c r="C76" s="548"/>
      <c r="D76" s="548"/>
      <c r="E76" s="548"/>
      <c r="F76" s="548"/>
      <c r="G76" s="548"/>
      <c r="H76" s="548"/>
      <c r="I76" s="548"/>
      <c r="J76" s="548"/>
      <c r="K76" s="549">
        <f>K81</f>
        <v>1</v>
      </c>
      <c r="L76" s="549">
        <f>+(L77*AB77)+(L79*AB79)+(L80*AB80)+(L81*AB81)+(L82*AB82)</f>
        <v>0.8</v>
      </c>
      <c r="M76" s="549">
        <f>(M79*AC79)+(M80*AC80)+(M81*AC81)</f>
        <v>0.58750000000000002</v>
      </c>
      <c r="N76" s="570"/>
      <c r="O76" s="570"/>
      <c r="P76" s="570"/>
      <c r="Q76" s="570"/>
      <c r="R76" s="570"/>
      <c r="S76" s="570"/>
      <c r="T76" s="570"/>
      <c r="U76" s="570"/>
      <c r="V76" s="570"/>
      <c r="W76" s="570"/>
      <c r="X76" s="548">
        <v>1</v>
      </c>
      <c r="Y76" s="548"/>
      <c r="Z76" s="577">
        <f>+SUMPRODUCT(Z77:Z82,AA77:AA82)</f>
        <v>0.50700000000000001</v>
      </c>
      <c r="AA76" s="577">
        <v>0.5</v>
      </c>
      <c r="AB76" s="577">
        <v>0.5</v>
      </c>
      <c r="AC76" s="577">
        <v>0.5</v>
      </c>
      <c r="AD76" s="571">
        <v>4651975326</v>
      </c>
      <c r="AE76" s="570">
        <v>1296001584</v>
      </c>
      <c r="AF76" s="548">
        <f>AE76/AD76</f>
        <v>0.27859167196279322</v>
      </c>
      <c r="AG76" s="570">
        <v>490280000</v>
      </c>
      <c r="AH76" s="548">
        <f t="shared" si="72"/>
        <v>0.10539178857201015</v>
      </c>
      <c r="AI76" s="886">
        <f>+AE76-AG76</f>
        <v>805721584</v>
      </c>
      <c r="AJ76" s="886">
        <v>0</v>
      </c>
      <c r="AK76" s="886">
        <v>0</v>
      </c>
      <c r="AL76" s="886">
        <v>279181893</v>
      </c>
      <c r="AM76" s="886">
        <v>279181892</v>
      </c>
      <c r="AN76" s="887">
        <f t="shared" si="70"/>
        <v>0.99999999641810577</v>
      </c>
      <c r="AO76" s="570">
        <v>9032474388</v>
      </c>
      <c r="AP76" s="571">
        <v>2104359220</v>
      </c>
      <c r="AQ76" s="549">
        <f>AP76/AO76</f>
        <v>0.23297704810497161</v>
      </c>
      <c r="AR76" s="550"/>
      <c r="AS76" s="551" t="s">
        <v>1484</v>
      </c>
      <c r="AT76" s="552"/>
      <c r="AU76" s="553"/>
      <c r="AV76" s="553"/>
      <c r="AW76" s="553"/>
    </row>
    <row r="77" spans="1:49" ht="102" x14ac:dyDescent="0.25">
      <c r="A77" s="578" t="s">
        <v>2032</v>
      </c>
      <c r="B77" s="481" t="s">
        <v>1677</v>
      </c>
      <c r="C77" s="487">
        <v>0</v>
      </c>
      <c r="D77" s="483">
        <v>1</v>
      </c>
      <c r="E77" s="483"/>
      <c r="F77" s="481"/>
      <c r="G77" s="483">
        <v>1</v>
      </c>
      <c r="H77" s="481"/>
      <c r="I77" s="481"/>
      <c r="J77" s="481"/>
      <c r="K77" s="496" t="e">
        <f t="shared" ref="K77:K82" si="73">IF(F77/C77&gt;=100%,100%,F77/C77)</f>
        <v>#DIV/0!</v>
      </c>
      <c r="L77" s="496">
        <f t="shared" ref="L77:L82" si="74">IF(G77/D77&gt;=100%,100%,G77/D77)</f>
        <v>1</v>
      </c>
      <c r="M77" s="496" t="e">
        <f t="shared" ref="M77:M82" si="75">IF(H77/E77&gt;=100%,100%,H77/E77)</f>
        <v>#DIV/0!</v>
      </c>
      <c r="N77" s="401"/>
      <c r="O77" s="401"/>
      <c r="P77" s="401"/>
      <c r="Q77" s="401"/>
      <c r="R77" s="401"/>
      <c r="S77" s="401"/>
      <c r="T77" s="401"/>
      <c r="U77" s="401"/>
      <c r="V77" s="401"/>
      <c r="W77" s="401"/>
      <c r="X77" s="481">
        <v>1</v>
      </c>
      <c r="Y77" s="481">
        <f t="shared" ref="Y77:Y82" si="76">SUM(F77:H77)</f>
        <v>1</v>
      </c>
      <c r="Z77" s="486">
        <f t="shared" ref="Z77:Z82" si="77">IF(Y77/X77&gt;=100%,100%,Y77/X77)</f>
        <v>1</v>
      </c>
      <c r="AA77" s="496">
        <v>0.16</v>
      </c>
      <c r="AB77" s="496">
        <v>0.2</v>
      </c>
      <c r="AC77" s="496">
        <v>0</v>
      </c>
      <c r="AD77" s="402"/>
      <c r="AE77" s="402"/>
      <c r="AF77" s="496"/>
      <c r="AG77" s="402"/>
      <c r="AH77" s="496">
        <f t="shared" si="69"/>
        <v>0</v>
      </c>
      <c r="AI77" s="888">
        <f t="shared" ref="AI77:AI139" si="78">+AD77-AG77</f>
        <v>0</v>
      </c>
      <c r="AJ77" s="402"/>
      <c r="AK77" s="402"/>
      <c r="AL77" s="402"/>
      <c r="AM77" s="402"/>
      <c r="AN77" s="402" t="e">
        <f t="shared" si="70"/>
        <v>#DIV/0!</v>
      </c>
      <c r="AO77" s="402"/>
      <c r="AP77" s="402"/>
      <c r="AQ77" s="496"/>
      <c r="AR77" s="403"/>
      <c r="AS77" s="475"/>
      <c r="AT77" s="474" t="s">
        <v>131</v>
      </c>
      <c r="AU77" s="476"/>
      <c r="AV77" s="476"/>
      <c r="AW77" s="476"/>
    </row>
    <row r="78" spans="1:49" ht="102" x14ac:dyDescent="0.25">
      <c r="A78" s="579" t="s">
        <v>2033</v>
      </c>
      <c r="B78" s="481" t="s">
        <v>1678</v>
      </c>
      <c r="C78" s="487">
        <v>0</v>
      </c>
      <c r="D78" s="487">
        <v>0</v>
      </c>
      <c r="E78" s="487">
        <v>0</v>
      </c>
      <c r="F78" s="481"/>
      <c r="G78" s="481"/>
      <c r="H78" s="486"/>
      <c r="I78" s="481"/>
      <c r="J78" s="481"/>
      <c r="K78" s="496" t="e">
        <f t="shared" si="73"/>
        <v>#DIV/0!</v>
      </c>
      <c r="L78" s="496" t="e">
        <f t="shared" si="74"/>
        <v>#DIV/0!</v>
      </c>
      <c r="M78" s="496" t="e">
        <f t="shared" si="75"/>
        <v>#DIV/0!</v>
      </c>
      <c r="N78" s="401"/>
      <c r="O78" s="401"/>
      <c r="P78" s="401"/>
      <c r="Q78" s="401"/>
      <c r="R78" s="401"/>
      <c r="S78" s="401"/>
      <c r="T78" s="401"/>
      <c r="U78" s="401"/>
      <c r="V78" s="401"/>
      <c r="W78" s="401"/>
      <c r="X78" s="481">
        <v>2</v>
      </c>
      <c r="Y78" s="481">
        <f t="shared" si="76"/>
        <v>0</v>
      </c>
      <c r="Z78" s="486">
        <f t="shared" si="77"/>
        <v>0</v>
      </c>
      <c r="AA78" s="496">
        <v>0.17</v>
      </c>
      <c r="AB78" s="496">
        <v>0</v>
      </c>
      <c r="AC78" s="496">
        <v>0</v>
      </c>
      <c r="AD78" s="402"/>
      <c r="AE78" s="402"/>
      <c r="AF78" s="496"/>
      <c r="AG78" s="402"/>
      <c r="AH78" s="496" t="e">
        <f t="shared" si="69"/>
        <v>#DIV/0!</v>
      </c>
      <c r="AI78" s="888">
        <f t="shared" si="78"/>
        <v>0</v>
      </c>
      <c r="AJ78" s="402"/>
      <c r="AK78" s="402"/>
      <c r="AL78" s="402"/>
      <c r="AM78" s="402"/>
      <c r="AN78" s="402" t="e">
        <f t="shared" si="70"/>
        <v>#DIV/0!</v>
      </c>
      <c r="AO78" s="402"/>
      <c r="AP78" s="402"/>
      <c r="AQ78" s="496"/>
      <c r="AR78" s="403"/>
      <c r="AS78" s="475"/>
      <c r="AT78" s="474" t="s">
        <v>131</v>
      </c>
      <c r="AU78" s="476"/>
      <c r="AV78" s="476"/>
      <c r="AW78" s="476"/>
    </row>
    <row r="79" spans="1:49" ht="204" x14ac:dyDescent="0.25">
      <c r="A79" s="400" t="s">
        <v>1561</v>
      </c>
      <c r="B79" s="933" t="s">
        <v>1679</v>
      </c>
      <c r="C79" s="487">
        <v>0</v>
      </c>
      <c r="D79" s="486">
        <v>0.2</v>
      </c>
      <c r="E79" s="486">
        <v>0.4</v>
      </c>
      <c r="F79" s="481"/>
      <c r="G79" s="486">
        <v>0.2</v>
      </c>
      <c r="H79" s="486">
        <v>0.15</v>
      </c>
      <c r="I79" s="481"/>
      <c r="J79" s="481"/>
      <c r="K79" s="496" t="e">
        <f t="shared" si="73"/>
        <v>#DIV/0!</v>
      </c>
      <c r="L79" s="496">
        <f t="shared" si="74"/>
        <v>1</v>
      </c>
      <c r="M79" s="496">
        <f t="shared" si="75"/>
        <v>0.37499999999999994</v>
      </c>
      <c r="N79" s="401"/>
      <c r="O79" s="401"/>
      <c r="P79" s="401"/>
      <c r="Q79" s="401"/>
      <c r="R79" s="401"/>
      <c r="S79" s="401"/>
      <c r="T79" s="401"/>
      <c r="U79" s="401"/>
      <c r="V79" s="401"/>
      <c r="W79" s="401"/>
      <c r="X79" s="486">
        <v>1</v>
      </c>
      <c r="Y79" s="486">
        <f t="shared" si="76"/>
        <v>0.35</v>
      </c>
      <c r="Z79" s="486">
        <f t="shared" si="77"/>
        <v>0.35</v>
      </c>
      <c r="AA79" s="496">
        <v>0.17</v>
      </c>
      <c r="AB79" s="496">
        <v>0.2</v>
      </c>
      <c r="AC79" s="496">
        <v>0.33</v>
      </c>
      <c r="AD79" s="402"/>
      <c r="AE79" s="402"/>
      <c r="AF79" s="496"/>
      <c r="AG79" s="402"/>
      <c r="AH79" s="496">
        <f t="shared" si="69"/>
        <v>0</v>
      </c>
      <c r="AI79" s="888">
        <f t="shared" si="78"/>
        <v>0</v>
      </c>
      <c r="AJ79" s="402"/>
      <c r="AK79" s="402"/>
      <c r="AL79" s="402"/>
      <c r="AM79" s="402"/>
      <c r="AN79" s="402" t="e">
        <f t="shared" si="70"/>
        <v>#DIV/0!</v>
      </c>
      <c r="AO79" s="402"/>
      <c r="AP79" s="402"/>
      <c r="AQ79" s="496"/>
      <c r="AR79" s="403"/>
      <c r="AS79" s="475"/>
      <c r="AT79" s="474" t="s">
        <v>1156</v>
      </c>
      <c r="AU79" s="476"/>
      <c r="AV79" s="476"/>
      <c r="AW79" s="476"/>
    </row>
    <row r="80" spans="1:49" ht="66.75" customHeight="1" x14ac:dyDescent="0.25">
      <c r="A80" s="400" t="s">
        <v>1562</v>
      </c>
      <c r="B80" s="934"/>
      <c r="C80" s="487">
        <v>0</v>
      </c>
      <c r="D80" s="486">
        <v>0.2</v>
      </c>
      <c r="E80" s="486">
        <v>0.4</v>
      </c>
      <c r="F80" s="481"/>
      <c r="G80" s="486">
        <v>0</v>
      </c>
      <c r="H80" s="486">
        <v>0.15</v>
      </c>
      <c r="I80" s="481"/>
      <c r="J80" s="481"/>
      <c r="K80" s="496" t="e">
        <f t="shared" si="73"/>
        <v>#DIV/0!</v>
      </c>
      <c r="L80" s="496">
        <f t="shared" si="74"/>
        <v>0</v>
      </c>
      <c r="M80" s="496">
        <f t="shared" si="75"/>
        <v>0.37499999999999994</v>
      </c>
      <c r="N80" s="401"/>
      <c r="O80" s="401"/>
      <c r="P80" s="401"/>
      <c r="Q80" s="401"/>
      <c r="R80" s="401"/>
      <c r="S80" s="401"/>
      <c r="T80" s="401"/>
      <c r="U80" s="401"/>
      <c r="V80" s="401"/>
      <c r="W80" s="401"/>
      <c r="X80" s="486">
        <v>1</v>
      </c>
      <c r="Y80" s="486">
        <f t="shared" si="76"/>
        <v>0.15</v>
      </c>
      <c r="Z80" s="486">
        <f t="shared" si="77"/>
        <v>0.15</v>
      </c>
      <c r="AA80" s="496">
        <v>0.17</v>
      </c>
      <c r="AB80" s="496">
        <v>0.2</v>
      </c>
      <c r="AC80" s="496">
        <v>0.33</v>
      </c>
      <c r="AD80" s="402"/>
      <c r="AE80" s="402"/>
      <c r="AF80" s="496"/>
      <c r="AG80" s="402"/>
      <c r="AH80" s="496">
        <f t="shared" si="69"/>
        <v>0</v>
      </c>
      <c r="AI80" s="888">
        <f t="shared" si="78"/>
        <v>0</v>
      </c>
      <c r="AJ80" s="402"/>
      <c r="AK80" s="402"/>
      <c r="AL80" s="402"/>
      <c r="AM80" s="402"/>
      <c r="AN80" s="402" t="e">
        <f t="shared" si="70"/>
        <v>#DIV/0!</v>
      </c>
      <c r="AO80" s="402"/>
      <c r="AP80" s="402"/>
      <c r="AQ80" s="496"/>
      <c r="AR80" s="403"/>
      <c r="AS80" s="475"/>
      <c r="AT80" s="474" t="s">
        <v>1156</v>
      </c>
      <c r="AU80" s="476"/>
      <c r="AV80" s="476"/>
      <c r="AW80" s="476"/>
    </row>
    <row r="81" spans="1:49" ht="178.5" x14ac:dyDescent="0.25">
      <c r="A81" s="400" t="s">
        <v>1563</v>
      </c>
      <c r="B81" s="481" t="s">
        <v>1680</v>
      </c>
      <c r="C81" s="486">
        <v>0.1</v>
      </c>
      <c r="D81" s="486">
        <v>0.2</v>
      </c>
      <c r="E81" s="486">
        <v>0.3</v>
      </c>
      <c r="F81" s="486">
        <v>0.1</v>
      </c>
      <c r="G81" s="486">
        <v>0.2</v>
      </c>
      <c r="H81" s="486">
        <v>0.3</v>
      </c>
      <c r="I81" s="486"/>
      <c r="J81" s="486"/>
      <c r="K81" s="496">
        <f t="shared" si="73"/>
        <v>1</v>
      </c>
      <c r="L81" s="496">
        <f t="shared" si="74"/>
        <v>1</v>
      </c>
      <c r="M81" s="496">
        <f t="shared" si="75"/>
        <v>1</v>
      </c>
      <c r="N81" s="401"/>
      <c r="O81" s="401"/>
      <c r="P81" s="401"/>
      <c r="Q81" s="401"/>
      <c r="R81" s="401"/>
      <c r="S81" s="401"/>
      <c r="T81" s="401"/>
      <c r="U81" s="401"/>
      <c r="V81" s="401"/>
      <c r="W81" s="401"/>
      <c r="X81" s="486">
        <v>1</v>
      </c>
      <c r="Y81" s="486">
        <f t="shared" si="76"/>
        <v>0.60000000000000009</v>
      </c>
      <c r="Z81" s="486">
        <f t="shared" si="77"/>
        <v>0.60000000000000009</v>
      </c>
      <c r="AA81" s="496">
        <v>0.17</v>
      </c>
      <c r="AB81" s="496">
        <v>0.2</v>
      </c>
      <c r="AC81" s="496">
        <v>0.34</v>
      </c>
      <c r="AD81" s="402"/>
      <c r="AE81" s="402"/>
      <c r="AF81" s="496"/>
      <c r="AG81" s="402"/>
      <c r="AH81" s="496">
        <f t="shared" si="69"/>
        <v>0</v>
      </c>
      <c r="AI81" s="888">
        <f t="shared" si="78"/>
        <v>0</v>
      </c>
      <c r="AJ81" s="402"/>
      <c r="AK81" s="402"/>
      <c r="AL81" s="402"/>
      <c r="AM81" s="402"/>
      <c r="AN81" s="402" t="e">
        <f t="shared" si="70"/>
        <v>#DIV/0!</v>
      </c>
      <c r="AO81" s="402"/>
      <c r="AP81" s="402"/>
      <c r="AQ81" s="496"/>
      <c r="AR81" s="403"/>
      <c r="AS81" s="475"/>
      <c r="AT81" s="474" t="s">
        <v>220</v>
      </c>
      <c r="AU81" s="476"/>
      <c r="AV81" s="476"/>
      <c r="AW81" s="476"/>
    </row>
    <row r="82" spans="1:49" ht="102" x14ac:dyDescent="0.25">
      <c r="A82" s="400" t="s">
        <v>1681</v>
      </c>
      <c r="B82" s="481" t="s">
        <v>1682</v>
      </c>
      <c r="C82" s="487">
        <v>0</v>
      </c>
      <c r="D82" s="481">
        <v>1</v>
      </c>
      <c r="E82" s="481"/>
      <c r="F82" s="481"/>
      <c r="G82" s="481">
        <v>1</v>
      </c>
      <c r="H82" s="481"/>
      <c r="I82" s="481"/>
      <c r="J82" s="481"/>
      <c r="K82" s="496" t="e">
        <f t="shared" si="73"/>
        <v>#DIV/0!</v>
      </c>
      <c r="L82" s="496">
        <f t="shared" si="74"/>
        <v>1</v>
      </c>
      <c r="M82" s="496" t="e">
        <f t="shared" si="75"/>
        <v>#DIV/0!</v>
      </c>
      <c r="N82" s="401"/>
      <c r="O82" s="401"/>
      <c r="P82" s="401"/>
      <c r="Q82" s="401"/>
      <c r="R82" s="401"/>
      <c r="S82" s="401"/>
      <c r="T82" s="401"/>
      <c r="U82" s="401"/>
      <c r="V82" s="401"/>
      <c r="W82" s="401"/>
      <c r="X82" s="481">
        <v>1</v>
      </c>
      <c r="Y82" s="481">
        <f t="shared" si="76"/>
        <v>1</v>
      </c>
      <c r="Z82" s="486">
        <f t="shared" si="77"/>
        <v>1</v>
      </c>
      <c r="AA82" s="496">
        <v>0.16</v>
      </c>
      <c r="AB82" s="496">
        <v>0.2</v>
      </c>
      <c r="AC82" s="496">
        <v>0</v>
      </c>
      <c r="AD82" s="402"/>
      <c r="AE82" s="402"/>
      <c r="AF82" s="496"/>
      <c r="AG82" s="402"/>
      <c r="AH82" s="496">
        <f t="shared" si="69"/>
        <v>0</v>
      </c>
      <c r="AI82" s="888">
        <f t="shared" si="78"/>
        <v>0</v>
      </c>
      <c r="AJ82" s="402"/>
      <c r="AK82" s="402"/>
      <c r="AL82" s="402"/>
      <c r="AM82" s="402"/>
      <c r="AN82" s="402" t="e">
        <f t="shared" si="70"/>
        <v>#DIV/0!</v>
      </c>
      <c r="AO82" s="402"/>
      <c r="AP82" s="402"/>
      <c r="AQ82" s="496"/>
      <c r="AR82" s="403"/>
      <c r="AS82" s="475"/>
      <c r="AT82" s="474" t="s">
        <v>655</v>
      </c>
      <c r="AU82" s="476"/>
      <c r="AV82" s="476"/>
      <c r="AW82" s="476"/>
    </row>
    <row r="83" spans="1:49" ht="38.25" x14ac:dyDescent="0.25">
      <c r="A83" s="555" t="s">
        <v>1564</v>
      </c>
      <c r="B83" s="554" t="s">
        <v>1724</v>
      </c>
      <c r="C83" s="548"/>
      <c r="D83" s="548"/>
      <c r="E83" s="548"/>
      <c r="F83" s="548"/>
      <c r="G83" s="548"/>
      <c r="H83" s="548"/>
      <c r="I83" s="548"/>
      <c r="J83" s="548"/>
      <c r="K83" s="549">
        <f>(+K84)</f>
        <v>1</v>
      </c>
      <c r="L83" s="549">
        <f>+(L84*AB84)+(L86*AB86)+(L92*AB92)+(L94*AB94)</f>
        <v>1</v>
      </c>
      <c r="M83" s="549">
        <f>+(M84*AC84)+(M85*AC85)+(M87*AC87)+(M88*AC88)+(M89*AC89)</f>
        <v>0.89999999999999991</v>
      </c>
      <c r="N83" s="570"/>
      <c r="O83" s="570"/>
      <c r="P83" s="570"/>
      <c r="Q83" s="570"/>
      <c r="R83" s="570"/>
      <c r="S83" s="570"/>
      <c r="T83" s="570"/>
      <c r="U83" s="570"/>
      <c r="V83" s="570"/>
      <c r="W83" s="570"/>
      <c r="X83" s="548">
        <v>1</v>
      </c>
      <c r="Y83" s="548"/>
      <c r="Z83" s="549">
        <f>+SUMPRODUCT(Z84:Z94,AA84:AA94)</f>
        <v>0.44999999999999996</v>
      </c>
      <c r="AA83" s="549">
        <v>0.5</v>
      </c>
      <c r="AB83" s="549">
        <v>0.5</v>
      </c>
      <c r="AC83" s="549">
        <v>0.5</v>
      </c>
      <c r="AD83" s="571">
        <v>5789811289</v>
      </c>
      <c r="AE83" s="570">
        <v>1415323003</v>
      </c>
      <c r="AF83" s="548">
        <f>AE83/AD83</f>
        <v>0.24445062755136024</v>
      </c>
      <c r="AG83" s="570">
        <v>1240323003</v>
      </c>
      <c r="AH83" s="548">
        <f t="shared" ref="AH83" si="79">+AG83/AD83</f>
        <v>0.21422511738102351</v>
      </c>
      <c r="AI83" s="886">
        <f>+AE83-AG83</f>
        <v>175000000</v>
      </c>
      <c r="AJ83" s="886">
        <v>459100000</v>
      </c>
      <c r="AK83" s="886">
        <v>459100000</v>
      </c>
      <c r="AL83" s="886">
        <f>181000000+99000000</f>
        <v>280000000</v>
      </c>
      <c r="AM83" s="886">
        <v>280000000</v>
      </c>
      <c r="AN83" s="887">
        <f t="shared" si="70"/>
        <v>1</v>
      </c>
      <c r="AO83" s="570">
        <v>17771708332</v>
      </c>
      <c r="AP83" s="571">
        <v>3331843068</v>
      </c>
      <c r="AQ83" s="549">
        <f>AP83/AO83</f>
        <v>0.18748017949409143</v>
      </c>
      <c r="AR83" s="550"/>
      <c r="AS83" s="551" t="s">
        <v>1484</v>
      </c>
      <c r="AT83" s="552"/>
      <c r="AU83" s="553"/>
      <c r="AV83" s="553"/>
      <c r="AW83" s="553"/>
    </row>
    <row r="84" spans="1:49" ht="51" x14ac:dyDescent="0.25">
      <c r="A84" s="400" t="s">
        <v>1565</v>
      </c>
      <c r="B84" s="481" t="s">
        <v>1683</v>
      </c>
      <c r="C84" s="481">
        <v>14</v>
      </c>
      <c r="D84" s="481">
        <v>14</v>
      </c>
      <c r="E84" s="481">
        <v>14</v>
      </c>
      <c r="F84" s="481">
        <v>14</v>
      </c>
      <c r="G84" s="481">
        <v>14</v>
      </c>
      <c r="H84" s="481">
        <v>14</v>
      </c>
      <c r="I84" s="481"/>
      <c r="J84" s="481"/>
      <c r="K84" s="496">
        <f t="shared" ref="K84:K94" si="80">IF(F84/C84&gt;=100%,100%,F84/C84)</f>
        <v>1</v>
      </c>
      <c r="L84" s="496">
        <f t="shared" ref="L84:L94" si="81">IF(G84/D84&gt;=100%,100%,G84/D84)</f>
        <v>1</v>
      </c>
      <c r="M84" s="496">
        <f t="shared" ref="M84:M94" si="82">IF(H84/E84&gt;=100%,100%,H84/E84)</f>
        <v>1</v>
      </c>
      <c r="N84" s="401"/>
      <c r="O84" s="401"/>
      <c r="P84" s="401"/>
      <c r="Q84" s="401"/>
      <c r="R84" s="401"/>
      <c r="S84" s="401"/>
      <c r="T84" s="401"/>
      <c r="U84" s="401"/>
      <c r="V84" s="401"/>
      <c r="W84" s="401"/>
      <c r="X84" s="481">
        <v>56</v>
      </c>
      <c r="Y84" s="481">
        <f t="shared" ref="Y84:Y94" si="83">SUM(F84:H84)</f>
        <v>42</v>
      </c>
      <c r="Z84" s="486">
        <f t="shared" ref="Z84:Z94" si="84">IF(Y84/X84&gt;=100%,100%,Y84/X84)</f>
        <v>0.75</v>
      </c>
      <c r="AA84" s="496">
        <v>0.1</v>
      </c>
      <c r="AB84" s="496">
        <v>0.25</v>
      </c>
      <c r="AC84" s="496">
        <v>0.2</v>
      </c>
      <c r="AD84" s="402"/>
      <c r="AE84" s="402"/>
      <c r="AF84" s="496"/>
      <c r="AG84" s="402"/>
      <c r="AH84" s="496">
        <f t="shared" si="69"/>
        <v>0</v>
      </c>
      <c r="AI84" s="888">
        <f t="shared" si="78"/>
        <v>0</v>
      </c>
      <c r="AJ84" s="402"/>
      <c r="AK84" s="402"/>
      <c r="AL84" s="402"/>
      <c r="AM84" s="402"/>
      <c r="AN84" s="402" t="e">
        <f t="shared" si="70"/>
        <v>#DIV/0!</v>
      </c>
      <c r="AO84" s="402"/>
      <c r="AP84" s="402"/>
      <c r="AQ84" s="496"/>
      <c r="AR84" s="403"/>
      <c r="AS84" s="475"/>
      <c r="AT84" s="474"/>
      <c r="AU84" s="476"/>
      <c r="AV84" s="476"/>
      <c r="AW84" s="476"/>
    </row>
    <row r="85" spans="1:49" ht="51" x14ac:dyDescent="0.25">
      <c r="A85" s="400" t="s">
        <v>1566</v>
      </c>
      <c r="B85" s="481" t="s">
        <v>1674</v>
      </c>
      <c r="C85" s="487">
        <v>0</v>
      </c>
      <c r="D85" s="481"/>
      <c r="E85" s="481">
        <v>2</v>
      </c>
      <c r="F85" s="481"/>
      <c r="G85" s="481"/>
      <c r="H85" s="481">
        <v>1</v>
      </c>
      <c r="I85" s="481"/>
      <c r="J85" s="481"/>
      <c r="K85" s="496" t="e">
        <f t="shared" si="80"/>
        <v>#DIV/0!</v>
      </c>
      <c r="L85" s="496" t="e">
        <f t="shared" si="81"/>
        <v>#DIV/0!</v>
      </c>
      <c r="M85" s="496">
        <f t="shared" si="82"/>
        <v>0.5</v>
      </c>
      <c r="N85" s="401"/>
      <c r="O85" s="401"/>
      <c r="P85" s="401"/>
      <c r="Q85" s="401"/>
      <c r="R85" s="401"/>
      <c r="S85" s="401"/>
      <c r="T85" s="401"/>
      <c r="U85" s="401"/>
      <c r="V85" s="401"/>
      <c r="W85" s="401"/>
      <c r="X85" s="481">
        <v>3</v>
      </c>
      <c r="Y85" s="481">
        <f t="shared" si="83"/>
        <v>1</v>
      </c>
      <c r="Z85" s="486">
        <f t="shared" si="84"/>
        <v>0.33333333333333331</v>
      </c>
      <c r="AA85" s="496">
        <v>0.09</v>
      </c>
      <c r="AB85" s="496">
        <v>0</v>
      </c>
      <c r="AC85" s="496">
        <v>0.2</v>
      </c>
      <c r="AD85" s="402"/>
      <c r="AE85" s="402"/>
      <c r="AF85" s="496"/>
      <c r="AG85" s="402"/>
      <c r="AH85" s="496" t="e">
        <f t="shared" si="69"/>
        <v>#DIV/0!</v>
      </c>
      <c r="AI85" s="888">
        <f t="shared" si="78"/>
        <v>0</v>
      </c>
      <c r="AJ85" s="402"/>
      <c r="AK85" s="402"/>
      <c r="AL85" s="402"/>
      <c r="AM85" s="402"/>
      <c r="AN85" s="402" t="e">
        <f t="shared" si="70"/>
        <v>#DIV/0!</v>
      </c>
      <c r="AO85" s="402"/>
      <c r="AP85" s="402"/>
      <c r="AQ85" s="496"/>
      <c r="AR85" s="403"/>
      <c r="AS85" s="475"/>
      <c r="AT85" s="474"/>
      <c r="AU85" s="476"/>
      <c r="AV85" s="476"/>
      <c r="AW85" s="476"/>
    </row>
    <row r="86" spans="1:49" ht="38.25" x14ac:dyDescent="0.25">
      <c r="A86" s="404" t="s">
        <v>1567</v>
      </c>
      <c r="B86" s="481" t="s">
        <v>1684</v>
      </c>
      <c r="C86" s="487">
        <v>0</v>
      </c>
      <c r="D86" s="481">
        <v>1</v>
      </c>
      <c r="E86" s="487">
        <v>0</v>
      </c>
      <c r="F86" s="481"/>
      <c r="G86" s="481">
        <v>1</v>
      </c>
      <c r="H86" s="487">
        <v>0</v>
      </c>
      <c r="I86" s="481"/>
      <c r="J86" s="481"/>
      <c r="K86" s="496" t="e">
        <f t="shared" si="80"/>
        <v>#DIV/0!</v>
      </c>
      <c r="L86" s="496">
        <f t="shared" si="81"/>
        <v>1</v>
      </c>
      <c r="M86" s="496" t="e">
        <f t="shared" si="82"/>
        <v>#DIV/0!</v>
      </c>
      <c r="N86" s="401"/>
      <c r="O86" s="401"/>
      <c r="P86" s="401"/>
      <c r="Q86" s="401"/>
      <c r="R86" s="401"/>
      <c r="S86" s="401"/>
      <c r="T86" s="401"/>
      <c r="U86" s="401"/>
      <c r="V86" s="401"/>
      <c r="W86" s="401"/>
      <c r="X86" s="481">
        <v>2</v>
      </c>
      <c r="Y86" s="481">
        <f t="shared" si="83"/>
        <v>1</v>
      </c>
      <c r="Z86" s="486">
        <f t="shared" si="84"/>
        <v>0.5</v>
      </c>
      <c r="AA86" s="496">
        <v>0.09</v>
      </c>
      <c r="AB86" s="496">
        <v>0.25</v>
      </c>
      <c r="AC86" s="496">
        <v>0</v>
      </c>
      <c r="AD86" s="402"/>
      <c r="AE86" s="402"/>
      <c r="AF86" s="496"/>
      <c r="AG86" s="402"/>
      <c r="AH86" s="496">
        <f t="shared" si="69"/>
        <v>0</v>
      </c>
      <c r="AI86" s="888">
        <f t="shared" si="78"/>
        <v>0</v>
      </c>
      <c r="AJ86" s="402"/>
      <c r="AK86" s="402"/>
      <c r="AL86" s="402"/>
      <c r="AM86" s="402"/>
      <c r="AN86" s="402" t="e">
        <f t="shared" si="70"/>
        <v>#DIV/0!</v>
      </c>
      <c r="AO86" s="402"/>
      <c r="AP86" s="402"/>
      <c r="AQ86" s="496"/>
      <c r="AR86" s="403"/>
      <c r="AS86" s="475"/>
      <c r="AT86" s="474"/>
      <c r="AU86" s="476"/>
      <c r="AV86" s="476"/>
      <c r="AW86" s="476"/>
    </row>
    <row r="87" spans="1:49" ht="63.75" x14ac:dyDescent="0.25">
      <c r="A87" s="931" t="s">
        <v>1568</v>
      </c>
      <c r="B87" s="481" t="s">
        <v>1692</v>
      </c>
      <c r="C87" s="487">
        <v>0</v>
      </c>
      <c r="D87" s="481"/>
      <c r="E87" s="481">
        <v>1</v>
      </c>
      <c r="F87" s="481"/>
      <c r="G87" s="481"/>
      <c r="H87" s="481">
        <v>2</v>
      </c>
      <c r="I87" s="481"/>
      <c r="J87" s="481"/>
      <c r="K87" s="496" t="e">
        <f t="shared" si="80"/>
        <v>#DIV/0!</v>
      </c>
      <c r="L87" s="496" t="e">
        <f t="shared" si="81"/>
        <v>#DIV/0!</v>
      </c>
      <c r="M87" s="496">
        <f t="shared" si="82"/>
        <v>1</v>
      </c>
      <c r="N87" s="401"/>
      <c r="O87" s="401"/>
      <c r="P87" s="401"/>
      <c r="Q87" s="401"/>
      <c r="R87" s="401"/>
      <c r="S87" s="401"/>
      <c r="T87" s="401"/>
      <c r="U87" s="401"/>
      <c r="V87" s="401"/>
      <c r="W87" s="401"/>
      <c r="X87" s="481">
        <v>1</v>
      </c>
      <c r="Y87" s="481">
        <f t="shared" si="83"/>
        <v>2</v>
      </c>
      <c r="Z87" s="486">
        <f t="shared" si="84"/>
        <v>1</v>
      </c>
      <c r="AA87" s="496">
        <v>0.09</v>
      </c>
      <c r="AB87" s="496">
        <v>0</v>
      </c>
      <c r="AC87" s="496">
        <v>0.2</v>
      </c>
      <c r="AD87" s="402"/>
      <c r="AE87" s="402"/>
      <c r="AF87" s="496"/>
      <c r="AG87" s="402"/>
      <c r="AH87" s="496" t="e">
        <f t="shared" si="69"/>
        <v>#DIV/0!</v>
      </c>
      <c r="AI87" s="888">
        <f t="shared" si="78"/>
        <v>0</v>
      </c>
      <c r="AJ87" s="402"/>
      <c r="AK87" s="402"/>
      <c r="AL87" s="402"/>
      <c r="AM87" s="402"/>
      <c r="AN87" s="402" t="e">
        <f t="shared" si="70"/>
        <v>#DIV/0!</v>
      </c>
      <c r="AO87" s="402"/>
      <c r="AP87" s="402"/>
      <c r="AQ87" s="496"/>
      <c r="AR87" s="403"/>
      <c r="AS87" s="475"/>
      <c r="AT87" s="474"/>
      <c r="AU87" s="476"/>
      <c r="AV87" s="476"/>
      <c r="AW87" s="476"/>
    </row>
    <row r="88" spans="1:49" ht="63.75" x14ac:dyDescent="0.25">
      <c r="A88" s="932"/>
      <c r="B88" s="483" t="s">
        <v>1691</v>
      </c>
      <c r="C88" s="487">
        <v>0</v>
      </c>
      <c r="D88" s="487">
        <v>0</v>
      </c>
      <c r="E88" s="486">
        <v>0.5</v>
      </c>
      <c r="F88" s="483"/>
      <c r="G88" s="483"/>
      <c r="H88" s="486">
        <v>0.5</v>
      </c>
      <c r="I88" s="483"/>
      <c r="J88" s="483"/>
      <c r="K88" s="496" t="e">
        <f t="shared" si="80"/>
        <v>#DIV/0!</v>
      </c>
      <c r="L88" s="496" t="e">
        <f t="shared" si="81"/>
        <v>#DIV/0!</v>
      </c>
      <c r="M88" s="496">
        <f t="shared" si="82"/>
        <v>1</v>
      </c>
      <c r="N88" s="407"/>
      <c r="O88" s="407"/>
      <c r="P88" s="407"/>
      <c r="Q88" s="407"/>
      <c r="R88" s="407"/>
      <c r="S88" s="407"/>
      <c r="T88" s="407"/>
      <c r="U88" s="407"/>
      <c r="V88" s="407"/>
      <c r="W88" s="407"/>
      <c r="X88" s="488">
        <v>1</v>
      </c>
      <c r="Y88" s="486">
        <f t="shared" si="83"/>
        <v>0.5</v>
      </c>
      <c r="Z88" s="488">
        <f t="shared" si="84"/>
        <v>0.5</v>
      </c>
      <c r="AA88" s="497">
        <v>0.09</v>
      </c>
      <c r="AB88" s="497">
        <v>0</v>
      </c>
      <c r="AC88" s="496">
        <v>0.2</v>
      </c>
      <c r="AD88" s="408"/>
      <c r="AE88" s="408"/>
      <c r="AF88" s="497"/>
      <c r="AG88" s="408"/>
      <c r="AH88" s="497" t="e">
        <f t="shared" si="69"/>
        <v>#DIV/0!</v>
      </c>
      <c r="AI88" s="888">
        <f t="shared" si="78"/>
        <v>0</v>
      </c>
      <c r="AJ88" s="408"/>
      <c r="AK88" s="408"/>
      <c r="AL88" s="408"/>
      <c r="AM88" s="408"/>
      <c r="AN88" s="408" t="e">
        <f t="shared" si="70"/>
        <v>#DIV/0!</v>
      </c>
      <c r="AO88" s="408"/>
      <c r="AP88" s="408"/>
      <c r="AQ88" s="497"/>
      <c r="AR88" s="409"/>
      <c r="AS88" s="475"/>
      <c r="AT88" s="474"/>
      <c r="AU88" s="476"/>
      <c r="AV88" s="476"/>
      <c r="AW88" s="476"/>
    </row>
    <row r="89" spans="1:49" ht="76.5" x14ac:dyDescent="0.25">
      <c r="A89" s="400" t="s">
        <v>1569</v>
      </c>
      <c r="B89" s="483" t="s">
        <v>1685</v>
      </c>
      <c r="C89" s="487">
        <v>0</v>
      </c>
      <c r="D89" s="487">
        <v>0</v>
      </c>
      <c r="E89" s="481">
        <v>2</v>
      </c>
      <c r="F89" s="481"/>
      <c r="G89" s="481"/>
      <c r="H89" s="481">
        <v>2</v>
      </c>
      <c r="I89" s="483"/>
      <c r="J89" s="483"/>
      <c r="K89" s="496" t="e">
        <f t="shared" si="80"/>
        <v>#DIV/0!</v>
      </c>
      <c r="L89" s="496" t="e">
        <f t="shared" si="81"/>
        <v>#DIV/0!</v>
      </c>
      <c r="M89" s="496">
        <f t="shared" si="82"/>
        <v>1</v>
      </c>
      <c r="N89" s="407"/>
      <c r="O89" s="407"/>
      <c r="P89" s="407"/>
      <c r="Q89" s="407"/>
      <c r="R89" s="407"/>
      <c r="S89" s="407"/>
      <c r="T89" s="407"/>
      <c r="U89" s="407"/>
      <c r="V89" s="407"/>
      <c r="W89" s="407"/>
      <c r="X89" s="483">
        <v>4</v>
      </c>
      <c r="Y89" s="483">
        <f t="shared" si="83"/>
        <v>2</v>
      </c>
      <c r="Z89" s="488">
        <f t="shared" si="84"/>
        <v>0.5</v>
      </c>
      <c r="AA89" s="497">
        <v>0.09</v>
      </c>
      <c r="AB89" s="497">
        <v>0</v>
      </c>
      <c r="AC89" s="496">
        <v>0.2</v>
      </c>
      <c r="AD89" s="408"/>
      <c r="AE89" s="408"/>
      <c r="AF89" s="497"/>
      <c r="AG89" s="408"/>
      <c r="AH89" s="497" t="e">
        <f t="shared" si="69"/>
        <v>#DIV/0!</v>
      </c>
      <c r="AI89" s="888">
        <f t="shared" si="78"/>
        <v>0</v>
      </c>
      <c r="AJ89" s="408"/>
      <c r="AK89" s="408"/>
      <c r="AL89" s="408"/>
      <c r="AM89" s="408"/>
      <c r="AN89" s="408" t="e">
        <f t="shared" si="70"/>
        <v>#DIV/0!</v>
      </c>
      <c r="AO89" s="408"/>
      <c r="AP89" s="408"/>
      <c r="AQ89" s="497"/>
      <c r="AR89" s="409"/>
      <c r="AS89" s="475"/>
      <c r="AT89" s="474" t="s">
        <v>183</v>
      </c>
      <c r="AU89" s="476"/>
      <c r="AV89" s="476"/>
      <c r="AW89" s="476"/>
    </row>
    <row r="90" spans="1:49" ht="51" x14ac:dyDescent="0.25">
      <c r="A90" s="400" t="s">
        <v>1570</v>
      </c>
      <c r="B90" s="483" t="s">
        <v>1686</v>
      </c>
      <c r="C90" s="487">
        <v>0</v>
      </c>
      <c r="D90" s="487">
        <v>0</v>
      </c>
      <c r="E90" s="487">
        <v>0</v>
      </c>
      <c r="F90" s="481"/>
      <c r="G90" s="481"/>
      <c r="H90" s="487">
        <v>0</v>
      </c>
      <c r="I90" s="483"/>
      <c r="J90" s="483"/>
      <c r="K90" s="496" t="e">
        <f t="shared" si="80"/>
        <v>#DIV/0!</v>
      </c>
      <c r="L90" s="496" t="e">
        <f t="shared" si="81"/>
        <v>#DIV/0!</v>
      </c>
      <c r="M90" s="496" t="e">
        <f t="shared" si="82"/>
        <v>#DIV/0!</v>
      </c>
      <c r="N90" s="407"/>
      <c r="O90" s="407"/>
      <c r="P90" s="407"/>
      <c r="Q90" s="407"/>
      <c r="R90" s="407"/>
      <c r="S90" s="407"/>
      <c r="T90" s="407"/>
      <c r="U90" s="407"/>
      <c r="V90" s="407"/>
      <c r="W90" s="407"/>
      <c r="X90" s="483">
        <v>1</v>
      </c>
      <c r="Y90" s="483">
        <f t="shared" si="83"/>
        <v>0</v>
      </c>
      <c r="Z90" s="488">
        <f t="shared" si="84"/>
        <v>0</v>
      </c>
      <c r="AA90" s="497">
        <v>0.09</v>
      </c>
      <c r="AB90" s="497">
        <v>0</v>
      </c>
      <c r="AC90" s="496">
        <v>0</v>
      </c>
      <c r="AD90" s="408"/>
      <c r="AE90" s="408"/>
      <c r="AF90" s="497"/>
      <c r="AG90" s="408"/>
      <c r="AH90" s="497" t="e">
        <f t="shared" si="69"/>
        <v>#DIV/0!</v>
      </c>
      <c r="AI90" s="888">
        <f t="shared" si="78"/>
        <v>0</v>
      </c>
      <c r="AJ90" s="408"/>
      <c r="AK90" s="408"/>
      <c r="AL90" s="408"/>
      <c r="AM90" s="408"/>
      <c r="AN90" s="408" t="e">
        <f t="shared" si="70"/>
        <v>#DIV/0!</v>
      </c>
      <c r="AO90" s="408"/>
      <c r="AP90" s="408"/>
      <c r="AQ90" s="497"/>
      <c r="AR90" s="409"/>
      <c r="AS90" s="475"/>
      <c r="AT90" s="474"/>
      <c r="AU90" s="476"/>
      <c r="AV90" s="476"/>
      <c r="AW90" s="476"/>
    </row>
    <row r="91" spans="1:49" ht="51" x14ac:dyDescent="0.25">
      <c r="A91" s="400" t="s">
        <v>1571</v>
      </c>
      <c r="B91" s="481" t="s">
        <v>1687</v>
      </c>
      <c r="C91" s="487">
        <v>0</v>
      </c>
      <c r="D91" s="487">
        <v>0</v>
      </c>
      <c r="E91" s="487">
        <v>0</v>
      </c>
      <c r="F91" s="481"/>
      <c r="G91" s="481"/>
      <c r="H91" s="481"/>
      <c r="I91" s="481"/>
      <c r="J91" s="481"/>
      <c r="K91" s="496" t="e">
        <f t="shared" si="80"/>
        <v>#DIV/0!</v>
      </c>
      <c r="L91" s="496" t="e">
        <f t="shared" si="81"/>
        <v>#DIV/0!</v>
      </c>
      <c r="M91" s="496" t="e">
        <f t="shared" si="82"/>
        <v>#DIV/0!</v>
      </c>
      <c r="N91" s="401"/>
      <c r="O91" s="401"/>
      <c r="P91" s="401"/>
      <c r="Q91" s="401"/>
      <c r="R91" s="401"/>
      <c r="S91" s="401"/>
      <c r="T91" s="401"/>
      <c r="U91" s="401"/>
      <c r="V91" s="401"/>
      <c r="W91" s="401"/>
      <c r="X91" s="481">
        <v>1</v>
      </c>
      <c r="Y91" s="481">
        <f t="shared" si="83"/>
        <v>0</v>
      </c>
      <c r="Z91" s="486">
        <f t="shared" si="84"/>
        <v>0</v>
      </c>
      <c r="AA91" s="496">
        <v>0.09</v>
      </c>
      <c r="AB91" s="496">
        <v>0</v>
      </c>
      <c r="AC91" s="496">
        <v>0</v>
      </c>
      <c r="AD91" s="402"/>
      <c r="AE91" s="402"/>
      <c r="AF91" s="496"/>
      <c r="AG91" s="402"/>
      <c r="AH91" s="496" t="e">
        <f t="shared" si="69"/>
        <v>#DIV/0!</v>
      </c>
      <c r="AI91" s="888">
        <f t="shared" si="78"/>
        <v>0</v>
      </c>
      <c r="AJ91" s="402"/>
      <c r="AK91" s="402"/>
      <c r="AL91" s="402"/>
      <c r="AM91" s="402"/>
      <c r="AN91" s="402" t="e">
        <f t="shared" si="70"/>
        <v>#DIV/0!</v>
      </c>
      <c r="AO91" s="402"/>
      <c r="AP91" s="402"/>
      <c r="AQ91" s="496"/>
      <c r="AR91" s="403"/>
      <c r="AS91" s="475"/>
      <c r="AT91" s="474"/>
      <c r="AU91" s="476"/>
      <c r="AV91" s="476"/>
      <c r="AW91" s="476"/>
    </row>
    <row r="92" spans="1:49" ht="63.75" x14ac:dyDescent="0.25">
      <c r="A92" s="400" t="s">
        <v>1572</v>
      </c>
      <c r="B92" s="481" t="s">
        <v>1690</v>
      </c>
      <c r="C92" s="487">
        <v>0</v>
      </c>
      <c r="D92" s="481">
        <v>2</v>
      </c>
      <c r="E92" s="487">
        <v>0</v>
      </c>
      <c r="F92" s="481"/>
      <c r="G92" s="481">
        <v>2</v>
      </c>
      <c r="H92" s="487">
        <v>0</v>
      </c>
      <c r="I92" s="481"/>
      <c r="J92" s="481"/>
      <c r="K92" s="496" t="e">
        <f t="shared" si="80"/>
        <v>#DIV/0!</v>
      </c>
      <c r="L92" s="496">
        <f t="shared" si="81"/>
        <v>1</v>
      </c>
      <c r="M92" s="496" t="e">
        <f t="shared" si="82"/>
        <v>#DIV/0!</v>
      </c>
      <c r="N92" s="401"/>
      <c r="O92" s="401"/>
      <c r="P92" s="401"/>
      <c r="Q92" s="401"/>
      <c r="R92" s="401"/>
      <c r="S92" s="401"/>
      <c r="T92" s="401"/>
      <c r="U92" s="401"/>
      <c r="V92" s="401"/>
      <c r="W92" s="401"/>
      <c r="X92" s="481">
        <v>6</v>
      </c>
      <c r="Y92" s="481">
        <f t="shared" si="83"/>
        <v>2</v>
      </c>
      <c r="Z92" s="486">
        <f t="shared" si="84"/>
        <v>0.33333333333333331</v>
      </c>
      <c r="AA92" s="496">
        <v>0.09</v>
      </c>
      <c r="AB92" s="496">
        <v>0.25</v>
      </c>
      <c r="AC92" s="496">
        <v>0</v>
      </c>
      <c r="AD92" s="402"/>
      <c r="AE92" s="402"/>
      <c r="AF92" s="496"/>
      <c r="AG92" s="402"/>
      <c r="AH92" s="496">
        <f t="shared" si="69"/>
        <v>0</v>
      </c>
      <c r="AI92" s="888">
        <f t="shared" si="78"/>
        <v>0</v>
      </c>
      <c r="AJ92" s="402"/>
      <c r="AK92" s="402"/>
      <c r="AL92" s="402"/>
      <c r="AM92" s="402"/>
      <c r="AN92" s="402" t="e">
        <f t="shared" si="70"/>
        <v>#DIV/0!</v>
      </c>
      <c r="AO92" s="402"/>
      <c r="AP92" s="402"/>
      <c r="AQ92" s="496"/>
      <c r="AR92" s="403"/>
      <c r="AS92" s="475"/>
      <c r="AT92" s="474"/>
      <c r="AU92" s="476"/>
      <c r="AV92" s="476"/>
      <c r="AW92" s="476"/>
    </row>
    <row r="93" spans="1:49" ht="51" x14ac:dyDescent="0.25">
      <c r="A93" s="400" t="s">
        <v>1573</v>
      </c>
      <c r="B93" s="481" t="s">
        <v>1689</v>
      </c>
      <c r="C93" s="487">
        <v>0</v>
      </c>
      <c r="D93" s="481"/>
      <c r="E93" s="481"/>
      <c r="F93" s="481"/>
      <c r="G93" s="481"/>
      <c r="H93" s="481"/>
      <c r="I93" s="481"/>
      <c r="J93" s="481"/>
      <c r="K93" s="496" t="e">
        <f t="shared" si="80"/>
        <v>#DIV/0!</v>
      </c>
      <c r="L93" s="496" t="e">
        <f t="shared" si="81"/>
        <v>#DIV/0!</v>
      </c>
      <c r="M93" s="496" t="e">
        <f t="shared" si="82"/>
        <v>#DIV/0!</v>
      </c>
      <c r="N93" s="401"/>
      <c r="O93" s="401"/>
      <c r="P93" s="401"/>
      <c r="Q93" s="401"/>
      <c r="R93" s="401"/>
      <c r="S93" s="401"/>
      <c r="T93" s="401"/>
      <c r="U93" s="401"/>
      <c r="V93" s="401"/>
      <c r="W93" s="401"/>
      <c r="X93" s="481">
        <v>1</v>
      </c>
      <c r="Y93" s="481">
        <f t="shared" si="83"/>
        <v>0</v>
      </c>
      <c r="Z93" s="486">
        <f t="shared" si="84"/>
        <v>0</v>
      </c>
      <c r="AA93" s="496">
        <v>0.09</v>
      </c>
      <c r="AB93" s="496">
        <v>0</v>
      </c>
      <c r="AC93" s="496">
        <v>0</v>
      </c>
      <c r="AD93" s="402"/>
      <c r="AE93" s="402"/>
      <c r="AF93" s="496"/>
      <c r="AG93" s="402"/>
      <c r="AH93" s="496" t="e">
        <f t="shared" si="69"/>
        <v>#DIV/0!</v>
      </c>
      <c r="AI93" s="888">
        <f t="shared" si="78"/>
        <v>0</v>
      </c>
      <c r="AJ93" s="402"/>
      <c r="AK93" s="402"/>
      <c r="AL93" s="402"/>
      <c r="AM93" s="402"/>
      <c r="AN93" s="402" t="e">
        <f t="shared" si="70"/>
        <v>#DIV/0!</v>
      </c>
      <c r="AO93" s="402"/>
      <c r="AP93" s="402"/>
      <c r="AQ93" s="496"/>
      <c r="AR93" s="403"/>
      <c r="AS93" s="475"/>
      <c r="AT93" s="474"/>
      <c r="AU93" s="476"/>
      <c r="AV93" s="476"/>
      <c r="AW93" s="476"/>
    </row>
    <row r="94" spans="1:49" ht="39" thickBot="1" x14ac:dyDescent="0.3">
      <c r="A94" s="480" t="s">
        <v>1574</v>
      </c>
      <c r="B94" s="482" t="s">
        <v>1688</v>
      </c>
      <c r="C94" s="490">
        <v>0</v>
      </c>
      <c r="D94" s="481">
        <v>1</v>
      </c>
      <c r="E94" s="481"/>
      <c r="F94" s="482"/>
      <c r="G94" s="481">
        <v>1</v>
      </c>
      <c r="H94" s="482"/>
      <c r="I94" s="482"/>
      <c r="J94" s="482"/>
      <c r="K94" s="496" t="e">
        <f t="shared" si="80"/>
        <v>#DIV/0!</v>
      </c>
      <c r="L94" s="496">
        <f t="shared" si="81"/>
        <v>1</v>
      </c>
      <c r="M94" s="496" t="e">
        <f t="shared" si="82"/>
        <v>#DIV/0!</v>
      </c>
      <c r="N94" s="411"/>
      <c r="O94" s="411"/>
      <c r="P94" s="411"/>
      <c r="Q94" s="411"/>
      <c r="R94" s="411"/>
      <c r="S94" s="411"/>
      <c r="T94" s="411"/>
      <c r="U94" s="411"/>
      <c r="V94" s="411"/>
      <c r="W94" s="411"/>
      <c r="X94" s="482">
        <v>1</v>
      </c>
      <c r="Y94" s="482">
        <f t="shared" si="83"/>
        <v>1</v>
      </c>
      <c r="Z94" s="489">
        <f t="shared" si="84"/>
        <v>1</v>
      </c>
      <c r="AA94" s="492">
        <v>0.09</v>
      </c>
      <c r="AB94" s="492">
        <v>0.25</v>
      </c>
      <c r="AC94" s="492">
        <v>0</v>
      </c>
      <c r="AD94" s="412"/>
      <c r="AE94" s="412"/>
      <c r="AF94" s="492"/>
      <c r="AG94" s="412"/>
      <c r="AH94" s="492">
        <f t="shared" si="69"/>
        <v>0</v>
      </c>
      <c r="AI94" s="888">
        <f t="shared" si="78"/>
        <v>0</v>
      </c>
      <c r="AJ94" s="412"/>
      <c r="AK94" s="412"/>
      <c r="AL94" s="412"/>
      <c r="AM94" s="412"/>
      <c r="AN94" s="412" t="e">
        <f t="shared" si="70"/>
        <v>#DIV/0!</v>
      </c>
      <c r="AO94" s="412"/>
      <c r="AP94" s="412"/>
      <c r="AQ94" s="492"/>
      <c r="AR94" s="413"/>
      <c r="AS94" s="477"/>
      <c r="AT94" s="478"/>
      <c r="AU94" s="479"/>
      <c r="AV94" s="479"/>
      <c r="AW94" s="479"/>
    </row>
    <row r="95" spans="1:49" ht="63.75" x14ac:dyDescent="0.25">
      <c r="A95" s="556" t="s">
        <v>1575</v>
      </c>
      <c r="B95" s="540"/>
      <c r="C95" s="541"/>
      <c r="D95" s="541"/>
      <c r="E95" s="541"/>
      <c r="F95" s="541"/>
      <c r="G95" s="541"/>
      <c r="H95" s="541"/>
      <c r="I95" s="541"/>
      <c r="J95" s="541"/>
      <c r="K95" s="541">
        <f>(+K96)</f>
        <v>0.88</v>
      </c>
      <c r="L95" s="541">
        <f>(+L96)</f>
        <v>0.93070000000000008</v>
      </c>
      <c r="M95" s="541">
        <f>(+M96)</f>
        <v>0.95</v>
      </c>
      <c r="N95" s="883"/>
      <c r="O95" s="883"/>
      <c r="P95" s="883"/>
      <c r="Q95" s="883"/>
      <c r="R95" s="883"/>
      <c r="S95" s="883"/>
      <c r="T95" s="883"/>
      <c r="U95" s="883"/>
      <c r="V95" s="883"/>
      <c r="W95" s="883"/>
      <c r="X95" s="541">
        <v>1</v>
      </c>
      <c r="Y95" s="541"/>
      <c r="Z95" s="541">
        <f>+(Z96*AA96)</f>
        <v>0.59687500000000004</v>
      </c>
      <c r="AA95" s="574">
        <v>0.14000000000000001</v>
      </c>
      <c r="AB95" s="574">
        <v>0.14000000000000001</v>
      </c>
      <c r="AC95" s="574">
        <v>0.14000000000000001</v>
      </c>
      <c r="AD95" s="542">
        <f>SUM(AD96:AD100)</f>
        <v>100000000</v>
      </c>
      <c r="AE95" s="542">
        <f>SUM(AE96:AE100)</f>
        <v>22403408</v>
      </c>
      <c r="AF95" s="543">
        <f>AE95/AD95</f>
        <v>0.22403408</v>
      </c>
      <c r="AG95" s="542">
        <f t="shared" ref="AG95:AM95" si="85">+AG96</f>
        <v>11490874</v>
      </c>
      <c r="AH95" s="543">
        <f t="shared" ref="AH95:AH96" si="86">+AG95/AD95</f>
        <v>0.11490874</v>
      </c>
      <c r="AI95" s="542">
        <f t="shared" si="85"/>
        <v>10912534</v>
      </c>
      <c r="AJ95" s="542">
        <f t="shared" si="85"/>
        <v>79824201</v>
      </c>
      <c r="AK95" s="542">
        <f t="shared" si="85"/>
        <v>79824200</v>
      </c>
      <c r="AL95" s="542">
        <f t="shared" si="85"/>
        <v>6500000</v>
      </c>
      <c r="AM95" s="542">
        <f t="shared" si="85"/>
        <v>6500000</v>
      </c>
      <c r="AN95" s="893">
        <f t="shared" si="70"/>
        <v>1</v>
      </c>
      <c r="AO95" s="542">
        <f>SUM(AO96:AO100)</f>
        <v>275000000</v>
      </c>
      <c r="AP95" s="542">
        <f>SUM(AP96:AP100)</f>
        <v>147183659</v>
      </c>
      <c r="AQ95" s="582">
        <f>AP95/AO95</f>
        <v>0.53521330545454548</v>
      </c>
      <c r="AR95" s="544"/>
      <c r="AS95" s="545" t="s">
        <v>1485</v>
      </c>
      <c r="AT95" s="544"/>
      <c r="AU95" s="546"/>
      <c r="AV95" s="546"/>
      <c r="AW95" s="546"/>
    </row>
    <row r="96" spans="1:49" ht="63.75" x14ac:dyDescent="0.25">
      <c r="A96" s="555" t="s">
        <v>1576</v>
      </c>
      <c r="B96" s="554" t="s">
        <v>1724</v>
      </c>
      <c r="C96" s="548"/>
      <c r="D96" s="548"/>
      <c r="E96" s="548"/>
      <c r="F96" s="548"/>
      <c r="G96" s="548"/>
      <c r="H96" s="548"/>
      <c r="I96" s="548"/>
      <c r="J96" s="548"/>
      <c r="K96" s="549">
        <f>+(K98*50%)+(K99*50%)</f>
        <v>0.88</v>
      </c>
      <c r="L96" s="549">
        <f>+(L98*AB98)+(L99*AB99)+(L100*AB100)</f>
        <v>0.93070000000000008</v>
      </c>
      <c r="M96" s="549">
        <f>SUMPRODUCT(M97:M100,AC97:AC100)</f>
        <v>0.95</v>
      </c>
      <c r="N96" s="570"/>
      <c r="O96" s="570"/>
      <c r="P96" s="570"/>
      <c r="Q96" s="570"/>
      <c r="R96" s="570"/>
      <c r="S96" s="570"/>
      <c r="T96" s="570"/>
      <c r="U96" s="570"/>
      <c r="V96" s="570"/>
      <c r="W96" s="570"/>
      <c r="X96" s="548">
        <v>1</v>
      </c>
      <c r="Y96" s="548"/>
      <c r="Z96" s="577">
        <f>+SUMPRODUCT(Z97:Z100,AA97:AA100)</f>
        <v>0.59687500000000004</v>
      </c>
      <c r="AA96" s="577">
        <v>1</v>
      </c>
      <c r="AB96" s="577">
        <v>1</v>
      </c>
      <c r="AC96" s="577">
        <v>1</v>
      </c>
      <c r="AD96" s="571">
        <v>100000000</v>
      </c>
      <c r="AE96" s="570">
        <v>22403408</v>
      </c>
      <c r="AF96" s="548">
        <f>AE96/AD96</f>
        <v>0.22403408</v>
      </c>
      <c r="AG96" s="570">
        <v>11490874</v>
      </c>
      <c r="AH96" s="548">
        <f t="shared" si="86"/>
        <v>0.11490874</v>
      </c>
      <c r="AI96" s="886">
        <f>+AE96-AG96</f>
        <v>10912534</v>
      </c>
      <c r="AJ96" s="886">
        <v>79824201</v>
      </c>
      <c r="AK96" s="886">
        <v>79824200</v>
      </c>
      <c r="AL96" s="886">
        <v>6500000</v>
      </c>
      <c r="AM96" s="886">
        <v>6500000</v>
      </c>
      <c r="AN96" s="887">
        <f t="shared" si="70"/>
        <v>1</v>
      </c>
      <c r="AO96" s="570">
        <v>275000000</v>
      </c>
      <c r="AP96" s="571">
        <v>147183659</v>
      </c>
      <c r="AQ96" s="549">
        <f>AP96/AO96</f>
        <v>0.53521330545454548</v>
      </c>
      <c r="AR96" s="550"/>
      <c r="AS96" s="551" t="s">
        <v>1485</v>
      </c>
      <c r="AT96" s="552"/>
      <c r="AU96" s="553"/>
      <c r="AV96" s="553"/>
      <c r="AW96" s="553"/>
    </row>
    <row r="97" spans="1:49" ht="38.25" x14ac:dyDescent="0.25">
      <c r="A97" s="400" t="s">
        <v>1577</v>
      </c>
      <c r="B97" s="481" t="s">
        <v>1693</v>
      </c>
      <c r="C97" s="487">
        <v>0</v>
      </c>
      <c r="D97" s="487">
        <v>0</v>
      </c>
      <c r="E97" s="481">
        <v>1</v>
      </c>
      <c r="F97" s="481"/>
      <c r="G97" s="481"/>
      <c r="H97" s="481">
        <v>1</v>
      </c>
      <c r="I97" s="481"/>
      <c r="J97" s="481"/>
      <c r="K97" s="496" t="e">
        <f t="shared" ref="K97:K100" si="87">IF(F97/C97&gt;=100%,100%,F97/C97)</f>
        <v>#DIV/0!</v>
      </c>
      <c r="L97" s="496" t="e">
        <f t="shared" ref="L97:L100" si="88">IF(G97/D97&gt;=100%,100%,G97/D97)</f>
        <v>#DIV/0!</v>
      </c>
      <c r="M97" s="496">
        <f t="shared" ref="M97:M100" si="89">IF(H97/E97&gt;=100%,100%,H97/E97)</f>
        <v>1</v>
      </c>
      <c r="N97" s="401"/>
      <c r="O97" s="401"/>
      <c r="P97" s="401"/>
      <c r="Q97" s="401"/>
      <c r="R97" s="401"/>
      <c r="S97" s="401"/>
      <c r="T97" s="401"/>
      <c r="U97" s="401"/>
      <c r="V97" s="401"/>
      <c r="W97" s="401"/>
      <c r="X97" s="481">
        <v>2</v>
      </c>
      <c r="Y97" s="493">
        <f>SUM(F97:H97)</f>
        <v>1</v>
      </c>
      <c r="Z97" s="500">
        <f t="shared" ref="Z97:Z100" si="90">IF(Y97/X97&gt;=100%,100%,Y97/X97)</f>
        <v>0.5</v>
      </c>
      <c r="AA97" s="496">
        <v>0.25</v>
      </c>
      <c r="AB97" s="496">
        <v>0</v>
      </c>
      <c r="AC97" s="496">
        <v>0.25</v>
      </c>
      <c r="AD97" s="402"/>
      <c r="AE97" s="401"/>
      <c r="AF97" s="486"/>
      <c r="AG97" s="401"/>
      <c r="AH97" s="486" t="e">
        <f t="shared" si="69"/>
        <v>#DIV/0!</v>
      </c>
      <c r="AI97" s="888">
        <f t="shared" si="78"/>
        <v>0</v>
      </c>
      <c r="AJ97" s="401"/>
      <c r="AK97" s="401"/>
      <c r="AL97" s="401"/>
      <c r="AM97" s="401"/>
      <c r="AN97" s="401" t="e">
        <f t="shared" si="70"/>
        <v>#DIV/0!</v>
      </c>
      <c r="AO97" s="401"/>
      <c r="AP97" s="402"/>
      <c r="AQ97" s="496"/>
      <c r="AR97" s="471"/>
      <c r="AS97" s="475"/>
      <c r="AT97" s="474"/>
      <c r="AU97" s="476"/>
      <c r="AV97" s="476"/>
      <c r="AW97" s="476"/>
    </row>
    <row r="98" spans="1:49" ht="63.75" x14ac:dyDescent="0.25">
      <c r="A98" s="400" t="s">
        <v>1578</v>
      </c>
      <c r="B98" s="481" t="s">
        <v>1695</v>
      </c>
      <c r="C98" s="486">
        <v>0.1</v>
      </c>
      <c r="D98" s="486">
        <v>0.3</v>
      </c>
      <c r="E98" s="486">
        <v>0.3</v>
      </c>
      <c r="F98" s="486">
        <v>0.1</v>
      </c>
      <c r="G98" s="486">
        <v>0.3</v>
      </c>
      <c r="H98" s="486">
        <v>0.3</v>
      </c>
      <c r="I98" s="486"/>
      <c r="J98" s="486"/>
      <c r="K98" s="496">
        <f t="shared" si="87"/>
        <v>1</v>
      </c>
      <c r="L98" s="496">
        <f t="shared" si="88"/>
        <v>1</v>
      </c>
      <c r="M98" s="496">
        <f t="shared" si="89"/>
        <v>1</v>
      </c>
      <c r="N98" s="401"/>
      <c r="O98" s="401"/>
      <c r="P98" s="401"/>
      <c r="Q98" s="401"/>
      <c r="R98" s="401"/>
      <c r="S98" s="401"/>
      <c r="T98" s="401"/>
      <c r="U98" s="401"/>
      <c r="V98" s="401"/>
      <c r="W98" s="401"/>
      <c r="X98" s="486">
        <v>1</v>
      </c>
      <c r="Y98" s="496">
        <f>SUM(F98:H98)</f>
        <v>0.7</v>
      </c>
      <c r="Z98" s="500">
        <f t="shared" si="90"/>
        <v>0.7</v>
      </c>
      <c r="AA98" s="496">
        <v>0.25</v>
      </c>
      <c r="AB98" s="496">
        <v>0.34</v>
      </c>
      <c r="AC98" s="496">
        <v>0.25</v>
      </c>
      <c r="AD98" s="402"/>
      <c r="AE98" s="401"/>
      <c r="AF98" s="486"/>
      <c r="AG98" s="401"/>
      <c r="AH98" s="486">
        <f t="shared" si="69"/>
        <v>0</v>
      </c>
      <c r="AI98" s="888">
        <f t="shared" si="78"/>
        <v>0</v>
      </c>
      <c r="AJ98" s="401"/>
      <c r="AK98" s="401"/>
      <c r="AL98" s="401"/>
      <c r="AM98" s="401"/>
      <c r="AN98" s="401" t="e">
        <f t="shared" si="70"/>
        <v>#DIV/0!</v>
      </c>
      <c r="AO98" s="401"/>
      <c r="AP98" s="402"/>
      <c r="AQ98" s="496"/>
      <c r="AR98" s="471"/>
      <c r="AS98" s="475"/>
      <c r="AT98" s="474"/>
      <c r="AU98" s="476"/>
      <c r="AV98" s="476"/>
      <c r="AW98" s="476"/>
    </row>
    <row r="99" spans="1:49" ht="63.75" x14ac:dyDescent="0.25">
      <c r="A99" s="400" t="s">
        <v>1579</v>
      </c>
      <c r="B99" s="481" t="s">
        <v>1696</v>
      </c>
      <c r="C99" s="486">
        <v>1</v>
      </c>
      <c r="D99" s="486">
        <v>1</v>
      </c>
      <c r="E99" s="486">
        <v>1</v>
      </c>
      <c r="F99" s="486">
        <v>0.76</v>
      </c>
      <c r="G99" s="486">
        <v>0.79</v>
      </c>
      <c r="H99" s="486">
        <v>0.8</v>
      </c>
      <c r="I99" s="486"/>
      <c r="J99" s="486"/>
      <c r="K99" s="496">
        <f t="shared" si="87"/>
        <v>0.76</v>
      </c>
      <c r="L99" s="496">
        <f t="shared" si="88"/>
        <v>0.79</v>
      </c>
      <c r="M99" s="496">
        <f t="shared" si="89"/>
        <v>0.8</v>
      </c>
      <c r="N99" s="401"/>
      <c r="O99" s="401"/>
      <c r="P99" s="401"/>
      <c r="Q99" s="401"/>
      <c r="R99" s="401"/>
      <c r="S99" s="401"/>
      <c r="T99" s="401"/>
      <c r="U99" s="401"/>
      <c r="V99" s="401"/>
      <c r="W99" s="401"/>
      <c r="X99" s="486">
        <v>1</v>
      </c>
      <c r="Y99" s="496">
        <f>SUM(F99:H99)/4</f>
        <v>0.58750000000000002</v>
      </c>
      <c r="Z99" s="500">
        <f t="shared" si="90"/>
        <v>0.58750000000000002</v>
      </c>
      <c r="AA99" s="496">
        <v>0.25</v>
      </c>
      <c r="AB99" s="496">
        <v>0.33</v>
      </c>
      <c r="AC99" s="496">
        <v>0.25</v>
      </c>
      <c r="AD99" s="402"/>
      <c r="AE99" s="401"/>
      <c r="AF99" s="486"/>
      <c r="AG99" s="401"/>
      <c r="AH99" s="486">
        <f t="shared" si="69"/>
        <v>0</v>
      </c>
      <c r="AI99" s="888">
        <f t="shared" si="78"/>
        <v>0</v>
      </c>
      <c r="AJ99" s="401"/>
      <c r="AK99" s="401"/>
      <c r="AL99" s="401"/>
      <c r="AM99" s="401"/>
      <c r="AN99" s="401" t="e">
        <f t="shared" si="70"/>
        <v>#DIV/0!</v>
      </c>
      <c r="AO99" s="401"/>
      <c r="AP99" s="402"/>
      <c r="AQ99" s="496"/>
      <c r="AR99" s="471"/>
      <c r="AS99" s="475"/>
      <c r="AT99" s="474" t="s">
        <v>1074</v>
      </c>
      <c r="AU99" s="476"/>
      <c r="AV99" s="476"/>
      <c r="AW99" s="476"/>
    </row>
    <row r="100" spans="1:49" ht="77.25" thickBot="1" x14ac:dyDescent="0.3">
      <c r="A100" s="480" t="s">
        <v>1580</v>
      </c>
      <c r="B100" s="482" t="s">
        <v>1694</v>
      </c>
      <c r="C100" s="490">
        <v>0</v>
      </c>
      <c r="D100" s="486">
        <v>0.3</v>
      </c>
      <c r="E100" s="486">
        <v>0.3</v>
      </c>
      <c r="F100" s="482"/>
      <c r="G100" s="486">
        <v>0.3</v>
      </c>
      <c r="H100" s="486">
        <v>0.3</v>
      </c>
      <c r="I100" s="482"/>
      <c r="J100" s="482"/>
      <c r="K100" s="496" t="e">
        <f t="shared" si="87"/>
        <v>#DIV/0!</v>
      </c>
      <c r="L100" s="496">
        <f t="shared" si="88"/>
        <v>1</v>
      </c>
      <c r="M100" s="496">
        <f t="shared" si="89"/>
        <v>1</v>
      </c>
      <c r="N100" s="411"/>
      <c r="O100" s="411"/>
      <c r="P100" s="411"/>
      <c r="Q100" s="411"/>
      <c r="R100" s="411"/>
      <c r="S100" s="411"/>
      <c r="T100" s="411"/>
      <c r="U100" s="411"/>
      <c r="V100" s="411"/>
      <c r="W100" s="411"/>
      <c r="X100" s="489">
        <v>1</v>
      </c>
      <c r="Y100" s="496">
        <f>SUM(F100:H100)</f>
        <v>0.6</v>
      </c>
      <c r="Z100" s="489">
        <f t="shared" si="90"/>
        <v>0.6</v>
      </c>
      <c r="AA100" s="492">
        <v>0.25</v>
      </c>
      <c r="AB100" s="492">
        <v>0.33</v>
      </c>
      <c r="AC100" s="492">
        <v>0.25</v>
      </c>
      <c r="AD100" s="412"/>
      <c r="AE100" s="412"/>
      <c r="AF100" s="492"/>
      <c r="AG100" s="412"/>
      <c r="AH100" s="492">
        <f t="shared" si="69"/>
        <v>0</v>
      </c>
      <c r="AI100" s="888">
        <f t="shared" si="78"/>
        <v>0</v>
      </c>
      <c r="AJ100" s="412"/>
      <c r="AK100" s="412"/>
      <c r="AL100" s="412"/>
      <c r="AM100" s="412"/>
      <c r="AN100" s="412" t="e">
        <f t="shared" si="70"/>
        <v>#DIV/0!</v>
      </c>
      <c r="AO100" s="412"/>
      <c r="AP100" s="412"/>
      <c r="AQ100" s="492"/>
      <c r="AR100" s="413"/>
      <c r="AS100" s="477"/>
      <c r="AT100" s="478"/>
      <c r="AU100" s="479"/>
      <c r="AV100" s="479"/>
      <c r="AW100" s="479"/>
    </row>
    <row r="101" spans="1:49" ht="51" x14ac:dyDescent="0.25">
      <c r="A101" s="556" t="s">
        <v>1581</v>
      </c>
      <c r="B101" s="540"/>
      <c r="C101" s="541"/>
      <c r="D101" s="541"/>
      <c r="E101" s="541"/>
      <c r="F101" s="541"/>
      <c r="G101" s="541"/>
      <c r="H101" s="541"/>
      <c r="I101" s="541"/>
      <c r="J101" s="541"/>
      <c r="K101" s="541">
        <f>+(K102*AA102)+(K106*AA106)+(K112*AA112)+(K116*AA116)</f>
        <v>1</v>
      </c>
      <c r="L101" s="541">
        <f>+(L102*AA102)+(L106*AA106)+(L112*AA112)+(L116*AA116)</f>
        <v>1</v>
      </c>
      <c r="M101" s="541">
        <f>+(M102*AC102)+(M106*AC106)+(M112*AC112)+(M116*AC116)</f>
        <v>0.86250000000000004</v>
      </c>
      <c r="N101" s="883"/>
      <c r="O101" s="883"/>
      <c r="P101" s="883"/>
      <c r="Q101" s="883"/>
      <c r="R101" s="883"/>
      <c r="S101" s="883"/>
      <c r="T101" s="883"/>
      <c r="U101" s="883"/>
      <c r="V101" s="883"/>
      <c r="W101" s="883"/>
      <c r="X101" s="541">
        <v>1</v>
      </c>
      <c r="Y101" s="541"/>
      <c r="Z101" s="541">
        <f>+(Z102*AA102)+(Z106*AA106)+(Z112*AA112)+(Z116*AA116)</f>
        <v>0.74958333333333338</v>
      </c>
      <c r="AA101" s="574">
        <v>0.14000000000000001</v>
      </c>
      <c r="AB101" s="574">
        <v>0.14000000000000001</v>
      </c>
      <c r="AC101" s="574">
        <v>0.14000000000000001</v>
      </c>
      <c r="AD101" s="542">
        <f>SUM(AD102:AD118)</f>
        <v>56658728028</v>
      </c>
      <c r="AE101" s="542">
        <f>SUM(AE102:AE118)</f>
        <v>51265422948</v>
      </c>
      <c r="AF101" s="543">
        <f>AE101/AD101</f>
        <v>0.90481069258500302</v>
      </c>
      <c r="AG101" s="542">
        <f>AG102+AG106+AG112+AG116</f>
        <v>2194325444</v>
      </c>
      <c r="AH101" s="543">
        <f t="shared" ref="AH101:AH102" si="91">+AG101/AD101</f>
        <v>3.8728815848382496E-2</v>
      </c>
      <c r="AI101" s="542">
        <f>AI102+AI106+AI112+AI116</f>
        <v>49071097504</v>
      </c>
      <c r="AJ101" s="542">
        <f>AJ102+AJ106+AJ112+AJ116</f>
        <v>564635276</v>
      </c>
      <c r="AK101" s="542">
        <f>AK102+AK106+AK112+AK116</f>
        <v>564635276</v>
      </c>
      <c r="AL101" s="542">
        <f>AL102+AL106+AL112+AL116</f>
        <v>3744676957</v>
      </c>
      <c r="AM101" s="542">
        <f>AM102+AM106+AM112+AM116</f>
        <v>3647200751</v>
      </c>
      <c r="AN101" s="893">
        <f t="shared" si="70"/>
        <v>0.97396939519234471</v>
      </c>
      <c r="AO101" s="542">
        <f>SUM(AO102:AO118)</f>
        <v>87176169690</v>
      </c>
      <c r="AP101" s="542">
        <f>SUM(AP102:AP118)</f>
        <v>59956833285</v>
      </c>
      <c r="AQ101" s="582">
        <f>AP101/AO101</f>
        <v>0.68776631845844527</v>
      </c>
      <c r="AR101" s="544"/>
      <c r="AS101" s="545" t="s">
        <v>1486</v>
      </c>
      <c r="AT101" s="544"/>
      <c r="AU101" s="546" t="s">
        <v>1763</v>
      </c>
      <c r="AV101" s="546" t="s">
        <v>1763</v>
      </c>
      <c r="AW101" s="546" t="s">
        <v>1763</v>
      </c>
    </row>
    <row r="102" spans="1:49" ht="51" x14ac:dyDescent="0.25">
      <c r="A102" s="555" t="s">
        <v>1584</v>
      </c>
      <c r="B102" s="554" t="s">
        <v>1724</v>
      </c>
      <c r="C102" s="548"/>
      <c r="D102" s="548"/>
      <c r="E102" s="548"/>
      <c r="F102" s="548"/>
      <c r="G102" s="548"/>
      <c r="H102" s="548"/>
      <c r="I102" s="548"/>
      <c r="J102" s="548"/>
      <c r="K102" s="549">
        <f>+(K103*50%)+(K105*50%)</f>
        <v>1</v>
      </c>
      <c r="L102" s="549">
        <f>L105</f>
        <v>1</v>
      </c>
      <c r="M102" s="549">
        <f>+(M104*50%)+(M105*50%)</f>
        <v>0.95</v>
      </c>
      <c r="N102" s="570"/>
      <c r="O102" s="570"/>
      <c r="P102" s="570"/>
      <c r="Q102" s="570"/>
      <c r="R102" s="570"/>
      <c r="S102" s="570"/>
      <c r="T102" s="570"/>
      <c r="U102" s="570"/>
      <c r="V102" s="570"/>
      <c r="W102" s="570"/>
      <c r="X102" s="548">
        <v>1</v>
      </c>
      <c r="Y102" s="548"/>
      <c r="Z102" s="577">
        <f>+SUMPRODUCT(Z103:Z105,AA103:AA105)</f>
        <v>0.83499999999999996</v>
      </c>
      <c r="AA102" s="577">
        <v>0.25</v>
      </c>
      <c r="AB102" s="577">
        <v>0.25</v>
      </c>
      <c r="AC102" s="577">
        <v>0.25</v>
      </c>
      <c r="AD102" s="571">
        <v>209665500</v>
      </c>
      <c r="AE102" s="570">
        <v>209665500</v>
      </c>
      <c r="AF102" s="548">
        <f>AE102/AD102</f>
        <v>1</v>
      </c>
      <c r="AG102" s="570">
        <v>104832750</v>
      </c>
      <c r="AH102" s="548">
        <f t="shared" si="91"/>
        <v>0.5</v>
      </c>
      <c r="AI102" s="886">
        <f>+AE102-AG102</f>
        <v>104832750</v>
      </c>
      <c r="AJ102" s="886">
        <v>0</v>
      </c>
      <c r="AK102" s="886">
        <v>0</v>
      </c>
      <c r="AL102" s="886">
        <v>0</v>
      </c>
      <c r="AM102" s="886">
        <v>0</v>
      </c>
      <c r="AN102" s="887" t="e">
        <f t="shared" si="70"/>
        <v>#DIV/0!</v>
      </c>
      <c r="AO102" s="570">
        <v>209665500</v>
      </c>
      <c r="AP102" s="571">
        <v>209665500</v>
      </c>
      <c r="AQ102" s="549">
        <f>AP102/AO102</f>
        <v>1</v>
      </c>
      <c r="AR102" s="550"/>
      <c r="AS102" s="551" t="s">
        <v>1486</v>
      </c>
      <c r="AT102" s="552"/>
      <c r="AU102" s="553"/>
      <c r="AV102" s="553"/>
      <c r="AW102" s="553"/>
    </row>
    <row r="103" spans="1:49" ht="63.75" x14ac:dyDescent="0.25">
      <c r="A103" s="400" t="s">
        <v>2034</v>
      </c>
      <c r="B103" s="481" t="s">
        <v>1697</v>
      </c>
      <c r="C103" s="481">
        <v>1</v>
      </c>
      <c r="D103" s="481"/>
      <c r="E103" s="481"/>
      <c r="F103" s="481">
        <v>1</v>
      </c>
      <c r="G103" s="481"/>
      <c r="H103" s="481"/>
      <c r="I103" s="481"/>
      <c r="J103" s="481"/>
      <c r="K103" s="496">
        <f t="shared" ref="K103:K105" si="92">IF(F103/C103&gt;=100%,100%,F103/C103)</f>
        <v>1</v>
      </c>
      <c r="L103" s="496" t="e">
        <f t="shared" ref="L103:L105" si="93">IF(G103/D103&gt;=100%,100%,G103/D103)</f>
        <v>#DIV/0!</v>
      </c>
      <c r="M103" s="496" t="e">
        <f t="shared" ref="M103:M105" si="94">IF(H103/E103&gt;=100%,100%,H103/E103)</f>
        <v>#DIV/0!</v>
      </c>
      <c r="N103" s="401"/>
      <c r="O103" s="401"/>
      <c r="P103" s="401"/>
      <c r="Q103" s="401"/>
      <c r="R103" s="401"/>
      <c r="S103" s="401"/>
      <c r="T103" s="401"/>
      <c r="U103" s="401"/>
      <c r="V103" s="401"/>
      <c r="W103" s="401"/>
      <c r="X103" s="481">
        <v>1</v>
      </c>
      <c r="Y103" s="481">
        <f>SUM(F103:H103)</f>
        <v>1</v>
      </c>
      <c r="Z103" s="486">
        <f t="shared" ref="Z103:Z105" si="95">IF(Y103/X103&gt;=100%,100%,Y103/X103)</f>
        <v>1</v>
      </c>
      <c r="AA103" s="496">
        <v>0.33</v>
      </c>
      <c r="AB103" s="496">
        <v>0</v>
      </c>
      <c r="AC103" s="496">
        <v>0</v>
      </c>
      <c r="AD103" s="402"/>
      <c r="AE103" s="402"/>
      <c r="AF103" s="496"/>
      <c r="AG103" s="402"/>
      <c r="AH103" s="496" t="e">
        <f t="shared" si="69"/>
        <v>#DIV/0!</v>
      </c>
      <c r="AI103" s="888">
        <f t="shared" si="78"/>
        <v>0</v>
      </c>
      <c r="AJ103" s="402"/>
      <c r="AK103" s="402"/>
      <c r="AL103" s="402"/>
      <c r="AM103" s="402"/>
      <c r="AN103" s="402" t="e">
        <f t="shared" si="70"/>
        <v>#DIV/0!</v>
      </c>
      <c r="AO103" s="402"/>
      <c r="AP103" s="402"/>
      <c r="AQ103" s="496"/>
      <c r="AR103" s="403"/>
      <c r="AS103" s="475"/>
      <c r="AT103" s="474"/>
      <c r="AU103" s="476"/>
      <c r="AV103" s="476"/>
      <c r="AW103" s="476"/>
    </row>
    <row r="104" spans="1:49" ht="63.75" x14ac:dyDescent="0.25">
      <c r="A104" s="400" t="s">
        <v>2035</v>
      </c>
      <c r="B104" s="481" t="s">
        <v>1698</v>
      </c>
      <c r="C104" s="487">
        <v>0</v>
      </c>
      <c r="D104" s="486"/>
      <c r="E104" s="486">
        <v>0.5</v>
      </c>
      <c r="F104" s="481"/>
      <c r="G104" s="486"/>
      <c r="H104" s="486">
        <v>0.5</v>
      </c>
      <c r="I104" s="481"/>
      <c r="J104" s="481"/>
      <c r="K104" s="496" t="e">
        <f t="shared" si="92"/>
        <v>#DIV/0!</v>
      </c>
      <c r="L104" s="496" t="e">
        <f t="shared" si="93"/>
        <v>#DIV/0!</v>
      </c>
      <c r="M104" s="496">
        <f t="shared" si="94"/>
        <v>1</v>
      </c>
      <c r="N104" s="401"/>
      <c r="O104" s="401"/>
      <c r="P104" s="401"/>
      <c r="Q104" s="401"/>
      <c r="R104" s="401"/>
      <c r="S104" s="401"/>
      <c r="T104" s="401"/>
      <c r="U104" s="401"/>
      <c r="V104" s="401"/>
      <c r="W104" s="401"/>
      <c r="X104" s="486">
        <v>1</v>
      </c>
      <c r="Y104" s="486">
        <f>SUM(F104:H104)</f>
        <v>0.5</v>
      </c>
      <c r="Z104" s="486">
        <f t="shared" si="95"/>
        <v>0.5</v>
      </c>
      <c r="AA104" s="496">
        <v>0.33</v>
      </c>
      <c r="AB104" s="496">
        <v>0</v>
      </c>
      <c r="AC104" s="496">
        <v>0.5</v>
      </c>
      <c r="AD104" s="402"/>
      <c r="AE104" s="402"/>
      <c r="AF104" s="496"/>
      <c r="AG104" s="402"/>
      <c r="AH104" s="496" t="e">
        <f t="shared" si="69"/>
        <v>#DIV/0!</v>
      </c>
      <c r="AI104" s="888">
        <f t="shared" si="78"/>
        <v>0</v>
      </c>
      <c r="AJ104" s="402"/>
      <c r="AK104" s="402"/>
      <c r="AL104" s="402"/>
      <c r="AM104" s="402"/>
      <c r="AN104" s="402" t="e">
        <f t="shared" si="70"/>
        <v>#DIV/0!</v>
      </c>
      <c r="AO104" s="402"/>
      <c r="AP104" s="402"/>
      <c r="AQ104" s="496"/>
      <c r="AR104" s="403"/>
      <c r="AS104" s="475"/>
      <c r="AT104" s="474"/>
      <c r="AU104" s="476"/>
      <c r="AV104" s="476"/>
      <c r="AW104" s="476"/>
    </row>
    <row r="105" spans="1:49" ht="242.25" x14ac:dyDescent="0.25">
      <c r="A105" s="400" t="s">
        <v>1582</v>
      </c>
      <c r="B105" s="481" t="s">
        <v>1640</v>
      </c>
      <c r="C105" s="481">
        <v>10</v>
      </c>
      <c r="D105" s="481">
        <v>10</v>
      </c>
      <c r="E105" s="481">
        <v>10</v>
      </c>
      <c r="F105" s="481">
        <v>19</v>
      </c>
      <c r="G105" s="481">
        <v>11</v>
      </c>
      <c r="H105" s="481">
        <v>9</v>
      </c>
      <c r="I105" s="481"/>
      <c r="J105" s="481"/>
      <c r="K105" s="496">
        <f t="shared" si="92"/>
        <v>1</v>
      </c>
      <c r="L105" s="496">
        <f t="shared" si="93"/>
        <v>1</v>
      </c>
      <c r="M105" s="496">
        <f t="shared" si="94"/>
        <v>0.9</v>
      </c>
      <c r="N105" s="401"/>
      <c r="O105" s="401"/>
      <c r="P105" s="401"/>
      <c r="Q105" s="401"/>
      <c r="R105" s="401"/>
      <c r="S105" s="401"/>
      <c r="T105" s="401"/>
      <c r="U105" s="401"/>
      <c r="V105" s="401"/>
      <c r="W105" s="401"/>
      <c r="X105" s="481">
        <v>30</v>
      </c>
      <c r="Y105" s="481">
        <f>SUM(F105:H105)</f>
        <v>39</v>
      </c>
      <c r="Z105" s="486">
        <f t="shared" si="95"/>
        <v>1</v>
      </c>
      <c r="AA105" s="496">
        <v>0.34</v>
      </c>
      <c r="AB105" s="496">
        <v>1</v>
      </c>
      <c r="AC105" s="496">
        <v>0.5</v>
      </c>
      <c r="AD105" s="402"/>
      <c r="AE105" s="402"/>
      <c r="AF105" s="496"/>
      <c r="AG105" s="402"/>
      <c r="AH105" s="496">
        <f t="shared" si="69"/>
        <v>0</v>
      </c>
      <c r="AI105" s="888">
        <f t="shared" si="78"/>
        <v>0</v>
      </c>
      <c r="AJ105" s="402"/>
      <c r="AK105" s="402"/>
      <c r="AL105" s="402"/>
      <c r="AM105" s="402"/>
      <c r="AN105" s="402" t="e">
        <f t="shared" si="70"/>
        <v>#DIV/0!</v>
      </c>
      <c r="AO105" s="402"/>
      <c r="AP105" s="402"/>
      <c r="AQ105" s="496"/>
      <c r="AR105" s="403"/>
      <c r="AS105" s="475"/>
      <c r="AT105" s="474" t="s">
        <v>972</v>
      </c>
      <c r="AU105" s="476"/>
      <c r="AV105" s="476"/>
      <c r="AW105" s="476"/>
    </row>
    <row r="106" spans="1:49" ht="51" x14ac:dyDescent="0.25">
      <c r="A106" s="555" t="s">
        <v>1583</v>
      </c>
      <c r="B106" s="554" t="s">
        <v>1724</v>
      </c>
      <c r="C106" s="548"/>
      <c r="D106" s="548"/>
      <c r="E106" s="548"/>
      <c r="F106" s="548"/>
      <c r="G106" s="548"/>
      <c r="H106" s="548"/>
      <c r="I106" s="548"/>
      <c r="J106" s="548"/>
      <c r="K106" s="549">
        <f>(+K111)</f>
        <v>1</v>
      </c>
      <c r="L106" s="549">
        <f>+(L108*AB109)+(L110*AB110)</f>
        <v>1</v>
      </c>
      <c r="M106" s="549">
        <f>+(M108*AC108)+(M111*AC111)</f>
        <v>0.5</v>
      </c>
      <c r="N106" s="570"/>
      <c r="O106" s="570"/>
      <c r="P106" s="570"/>
      <c r="Q106" s="570"/>
      <c r="R106" s="570"/>
      <c r="S106" s="570"/>
      <c r="T106" s="570"/>
      <c r="U106" s="570"/>
      <c r="V106" s="570"/>
      <c r="W106" s="570"/>
      <c r="X106" s="548">
        <v>1</v>
      </c>
      <c r="Y106" s="548"/>
      <c r="Z106" s="549">
        <f>+SUMPRODUCT(Z107:Z111,AA107:AA111)</f>
        <v>0.36000000000000004</v>
      </c>
      <c r="AA106" s="549">
        <v>0.25</v>
      </c>
      <c r="AB106" s="549">
        <v>0.25</v>
      </c>
      <c r="AC106" s="549">
        <v>0.25</v>
      </c>
      <c r="AD106" s="571">
        <v>1000000000</v>
      </c>
      <c r="AE106" s="570">
        <v>999987700</v>
      </c>
      <c r="AF106" s="548">
        <f>AE106/AD106</f>
        <v>0.99998770000000003</v>
      </c>
      <c r="AG106" s="570">
        <v>474987002</v>
      </c>
      <c r="AH106" s="548">
        <f t="shared" ref="AH106" si="96">+AG106/AD106</f>
        <v>0.47498700199999999</v>
      </c>
      <c r="AI106" s="886">
        <f>+AE106-AG106</f>
        <v>525000698</v>
      </c>
      <c r="AJ106" s="886">
        <v>0</v>
      </c>
      <c r="AK106" s="886">
        <v>0</v>
      </c>
      <c r="AL106" s="886">
        <v>149988450</v>
      </c>
      <c r="AM106" s="886">
        <v>124990374</v>
      </c>
      <c r="AN106" s="887">
        <f t="shared" si="70"/>
        <v>0.83333332666615334</v>
      </c>
      <c r="AO106" s="570">
        <v>2990962836</v>
      </c>
      <c r="AP106" s="571">
        <v>1504987243</v>
      </c>
      <c r="AQ106" s="549">
        <f>AP106/AO106</f>
        <v>0.50317818225140931</v>
      </c>
      <c r="AR106" s="550"/>
      <c r="AS106" s="551" t="s">
        <v>1486</v>
      </c>
      <c r="AT106" s="552"/>
      <c r="AU106" s="553"/>
      <c r="AV106" s="553"/>
      <c r="AW106" s="553"/>
    </row>
    <row r="107" spans="1:49" ht="51" x14ac:dyDescent="0.25">
      <c r="A107" s="400" t="s">
        <v>1585</v>
      </c>
      <c r="B107" s="481" t="s">
        <v>1701</v>
      </c>
      <c r="C107" s="487">
        <v>0</v>
      </c>
      <c r="D107" s="483"/>
      <c r="E107" s="483"/>
      <c r="F107" s="481"/>
      <c r="G107" s="483"/>
      <c r="H107" s="481"/>
      <c r="I107" s="481"/>
      <c r="J107" s="481"/>
      <c r="K107" s="496" t="e">
        <f t="shared" ref="K107:K111" si="97">IF(F107/C107&gt;=100%,100%,F107/C107)</f>
        <v>#DIV/0!</v>
      </c>
      <c r="L107" s="496" t="e">
        <f t="shared" ref="L107:L111" si="98">IF(G107/D107&gt;=100%,100%,G107/D107)</f>
        <v>#DIV/0!</v>
      </c>
      <c r="M107" s="496" t="e">
        <f t="shared" ref="M107:M111" si="99">IF(H107/E107&gt;=100%,100%,H107/E107)</f>
        <v>#DIV/0!</v>
      </c>
      <c r="N107" s="401"/>
      <c r="O107" s="401"/>
      <c r="P107" s="401"/>
      <c r="Q107" s="401"/>
      <c r="R107" s="401"/>
      <c r="S107" s="401"/>
      <c r="T107" s="401"/>
      <c r="U107" s="401"/>
      <c r="V107" s="401"/>
      <c r="W107" s="401"/>
      <c r="X107" s="481">
        <v>1</v>
      </c>
      <c r="Y107" s="481">
        <f>SUM(F107:H107)</f>
        <v>0</v>
      </c>
      <c r="Z107" s="486">
        <f t="shared" ref="Z107:Z111" si="100">IF(Y107/X107&gt;=100%,100%,Y107/X107)</f>
        <v>0</v>
      </c>
      <c r="AA107" s="496">
        <v>0.2</v>
      </c>
      <c r="AB107" s="496">
        <v>0</v>
      </c>
      <c r="AC107" s="496">
        <v>0</v>
      </c>
      <c r="AD107" s="402"/>
      <c r="AE107" s="402"/>
      <c r="AF107" s="496"/>
      <c r="AG107" s="402"/>
      <c r="AH107" s="496" t="e">
        <f t="shared" si="69"/>
        <v>#DIV/0!</v>
      </c>
      <c r="AI107" s="888">
        <f t="shared" si="78"/>
        <v>0</v>
      </c>
      <c r="AJ107" s="402"/>
      <c r="AK107" s="402"/>
      <c r="AL107" s="402"/>
      <c r="AM107" s="402"/>
      <c r="AN107" s="402" t="e">
        <f t="shared" si="70"/>
        <v>#DIV/0!</v>
      </c>
      <c r="AO107" s="402"/>
      <c r="AP107" s="402"/>
      <c r="AQ107" s="496"/>
      <c r="AR107" s="403"/>
      <c r="AS107" s="475"/>
      <c r="AT107" s="474"/>
      <c r="AU107" s="476"/>
      <c r="AV107" s="476"/>
      <c r="AW107" s="476"/>
    </row>
    <row r="108" spans="1:49" ht="76.5" x14ac:dyDescent="0.25">
      <c r="A108" s="400" t="s">
        <v>1586</v>
      </c>
      <c r="B108" s="481" t="s">
        <v>1699</v>
      </c>
      <c r="C108" s="487">
        <v>0</v>
      </c>
      <c r="D108" s="486">
        <v>0.3</v>
      </c>
      <c r="E108" s="486">
        <v>0.4</v>
      </c>
      <c r="F108" s="481"/>
      <c r="G108" s="486">
        <v>0.3</v>
      </c>
      <c r="H108" s="486">
        <v>0.2</v>
      </c>
      <c r="I108" s="481"/>
      <c r="J108" s="481"/>
      <c r="K108" s="496" t="e">
        <f t="shared" si="97"/>
        <v>#DIV/0!</v>
      </c>
      <c r="L108" s="496">
        <f t="shared" si="98"/>
        <v>1</v>
      </c>
      <c r="M108" s="496">
        <f t="shared" si="99"/>
        <v>0.5</v>
      </c>
      <c r="N108" s="401"/>
      <c r="O108" s="401"/>
      <c r="P108" s="401"/>
      <c r="Q108" s="401"/>
      <c r="R108" s="401"/>
      <c r="S108" s="401"/>
      <c r="T108" s="401"/>
      <c r="U108" s="401"/>
      <c r="V108" s="401"/>
      <c r="W108" s="401"/>
      <c r="X108" s="486">
        <v>1</v>
      </c>
      <c r="Y108" s="486">
        <f>SUM(F108:H108)</f>
        <v>0.5</v>
      </c>
      <c r="Z108" s="486">
        <f t="shared" si="100"/>
        <v>0.5</v>
      </c>
      <c r="AA108" s="496">
        <v>0.2</v>
      </c>
      <c r="AB108" s="496">
        <v>0</v>
      </c>
      <c r="AC108" s="496">
        <v>0.5</v>
      </c>
      <c r="AD108" s="402"/>
      <c r="AE108" s="402"/>
      <c r="AF108" s="496"/>
      <c r="AG108" s="402"/>
      <c r="AH108" s="496" t="e">
        <f t="shared" si="69"/>
        <v>#DIV/0!</v>
      </c>
      <c r="AI108" s="888">
        <f t="shared" si="78"/>
        <v>0</v>
      </c>
      <c r="AJ108" s="402"/>
      <c r="AK108" s="402"/>
      <c r="AL108" s="402"/>
      <c r="AM108" s="402"/>
      <c r="AN108" s="402" t="e">
        <f t="shared" si="70"/>
        <v>#DIV/0!</v>
      </c>
      <c r="AO108" s="402"/>
      <c r="AP108" s="402"/>
      <c r="AQ108" s="496"/>
      <c r="AR108" s="403"/>
      <c r="AS108" s="475"/>
      <c r="AT108" s="474" t="s">
        <v>418</v>
      </c>
      <c r="AU108" s="476"/>
      <c r="AV108" s="476"/>
      <c r="AW108" s="476"/>
    </row>
    <row r="109" spans="1:49" ht="102" x14ac:dyDescent="0.25">
      <c r="A109" s="400" t="s">
        <v>1587</v>
      </c>
      <c r="B109" s="481" t="s">
        <v>1700</v>
      </c>
      <c r="C109" s="487">
        <v>0</v>
      </c>
      <c r="D109" s="483"/>
      <c r="E109" s="483"/>
      <c r="F109" s="481"/>
      <c r="G109" s="483"/>
      <c r="H109" s="481"/>
      <c r="I109" s="481"/>
      <c r="J109" s="481"/>
      <c r="K109" s="496" t="e">
        <f t="shared" si="97"/>
        <v>#DIV/0!</v>
      </c>
      <c r="L109" s="496" t="e">
        <f t="shared" si="98"/>
        <v>#DIV/0!</v>
      </c>
      <c r="M109" s="496" t="e">
        <f t="shared" si="99"/>
        <v>#DIV/0!</v>
      </c>
      <c r="N109" s="401"/>
      <c r="O109" s="401"/>
      <c r="P109" s="401"/>
      <c r="Q109" s="401"/>
      <c r="R109" s="401"/>
      <c r="S109" s="401"/>
      <c r="T109" s="401"/>
      <c r="U109" s="401"/>
      <c r="V109" s="401"/>
      <c r="W109" s="401"/>
      <c r="X109" s="481">
        <v>2</v>
      </c>
      <c r="Y109" s="481">
        <f>SUM(F109:H109)</f>
        <v>0</v>
      </c>
      <c r="Z109" s="486">
        <f t="shared" si="100"/>
        <v>0</v>
      </c>
      <c r="AA109" s="496">
        <v>0.2</v>
      </c>
      <c r="AB109" s="496">
        <v>0.5</v>
      </c>
      <c r="AC109" s="496">
        <v>0</v>
      </c>
      <c r="AD109" s="402"/>
      <c r="AE109" s="402"/>
      <c r="AF109" s="496"/>
      <c r="AG109" s="402"/>
      <c r="AH109" s="496">
        <f t="shared" si="69"/>
        <v>0</v>
      </c>
      <c r="AI109" s="888">
        <f t="shared" si="78"/>
        <v>0</v>
      </c>
      <c r="AJ109" s="402"/>
      <c r="AK109" s="402"/>
      <c r="AL109" s="402"/>
      <c r="AM109" s="402"/>
      <c r="AN109" s="402" t="e">
        <f t="shared" si="70"/>
        <v>#DIV/0!</v>
      </c>
      <c r="AO109" s="402"/>
      <c r="AP109" s="402"/>
      <c r="AQ109" s="496"/>
      <c r="AR109" s="403"/>
      <c r="AS109" s="475"/>
      <c r="AT109" s="474" t="s">
        <v>396</v>
      </c>
      <c r="AU109" s="476"/>
      <c r="AV109" s="476"/>
      <c r="AW109" s="476"/>
    </row>
    <row r="110" spans="1:49" ht="38.25" x14ac:dyDescent="0.25">
      <c r="A110" s="400" t="s">
        <v>1588</v>
      </c>
      <c r="B110" s="481" t="s">
        <v>1676</v>
      </c>
      <c r="C110" s="487">
        <v>0</v>
      </c>
      <c r="D110" s="483">
        <v>1</v>
      </c>
      <c r="E110" s="483"/>
      <c r="F110" s="481"/>
      <c r="G110" s="483">
        <v>1</v>
      </c>
      <c r="H110" s="481"/>
      <c r="I110" s="481"/>
      <c r="J110" s="481"/>
      <c r="K110" s="496" t="e">
        <f t="shared" si="97"/>
        <v>#DIV/0!</v>
      </c>
      <c r="L110" s="496">
        <f t="shared" si="98"/>
        <v>1</v>
      </c>
      <c r="M110" s="496" t="e">
        <f t="shared" si="99"/>
        <v>#DIV/0!</v>
      </c>
      <c r="N110" s="401"/>
      <c r="O110" s="401"/>
      <c r="P110" s="401"/>
      <c r="Q110" s="401"/>
      <c r="R110" s="401"/>
      <c r="S110" s="401"/>
      <c r="T110" s="401"/>
      <c r="U110" s="401"/>
      <c r="V110" s="401"/>
      <c r="W110" s="401"/>
      <c r="X110" s="481">
        <v>1</v>
      </c>
      <c r="Y110" s="481">
        <f>SUM(F110:H110)</f>
        <v>1</v>
      </c>
      <c r="Z110" s="486">
        <f t="shared" si="100"/>
        <v>1</v>
      </c>
      <c r="AA110" s="496">
        <v>0.2</v>
      </c>
      <c r="AB110" s="496">
        <v>0.5</v>
      </c>
      <c r="AC110" s="496">
        <v>0</v>
      </c>
      <c r="AD110" s="402"/>
      <c r="AE110" s="402"/>
      <c r="AF110" s="496"/>
      <c r="AG110" s="402"/>
      <c r="AH110" s="496">
        <f t="shared" si="69"/>
        <v>0</v>
      </c>
      <c r="AI110" s="888">
        <f t="shared" si="78"/>
        <v>0</v>
      </c>
      <c r="AJ110" s="402"/>
      <c r="AK110" s="402"/>
      <c r="AL110" s="402"/>
      <c r="AM110" s="402"/>
      <c r="AN110" s="402" t="e">
        <f t="shared" si="70"/>
        <v>#DIV/0!</v>
      </c>
      <c r="AO110" s="402"/>
      <c r="AP110" s="402"/>
      <c r="AQ110" s="496"/>
      <c r="AR110" s="403"/>
      <c r="AS110" s="475"/>
      <c r="AT110" s="474"/>
      <c r="AU110" s="476"/>
      <c r="AV110" s="476"/>
      <c r="AW110" s="476"/>
    </row>
    <row r="111" spans="1:49" ht="38.25" x14ac:dyDescent="0.25">
      <c r="A111" s="404" t="s">
        <v>1589</v>
      </c>
      <c r="B111" s="481" t="s">
        <v>1656</v>
      </c>
      <c r="C111" s="486">
        <v>0.1</v>
      </c>
      <c r="D111" s="486"/>
      <c r="E111" s="486">
        <v>0.4</v>
      </c>
      <c r="F111" s="486">
        <v>0.1</v>
      </c>
      <c r="G111" s="486"/>
      <c r="H111" s="486">
        <v>0.2</v>
      </c>
      <c r="I111" s="486"/>
      <c r="J111" s="486"/>
      <c r="K111" s="496">
        <f t="shared" si="97"/>
        <v>1</v>
      </c>
      <c r="L111" s="496" t="e">
        <f t="shared" si="98"/>
        <v>#DIV/0!</v>
      </c>
      <c r="M111" s="496">
        <f t="shared" si="99"/>
        <v>0.5</v>
      </c>
      <c r="N111" s="401"/>
      <c r="O111" s="401"/>
      <c r="P111" s="401"/>
      <c r="Q111" s="401"/>
      <c r="R111" s="401"/>
      <c r="S111" s="401"/>
      <c r="T111" s="401"/>
      <c r="U111" s="401"/>
      <c r="V111" s="401"/>
      <c r="W111" s="401"/>
      <c r="X111" s="486">
        <v>1</v>
      </c>
      <c r="Y111" s="486">
        <f>SUM(F111:H111)</f>
        <v>0.30000000000000004</v>
      </c>
      <c r="Z111" s="486">
        <f t="shared" si="100"/>
        <v>0.30000000000000004</v>
      </c>
      <c r="AA111" s="496">
        <v>0.2</v>
      </c>
      <c r="AB111" s="496">
        <v>0</v>
      </c>
      <c r="AC111" s="496">
        <v>0.5</v>
      </c>
      <c r="AD111" s="402"/>
      <c r="AE111" s="402"/>
      <c r="AF111" s="496"/>
      <c r="AG111" s="402"/>
      <c r="AH111" s="496" t="e">
        <f t="shared" si="69"/>
        <v>#DIV/0!</v>
      </c>
      <c r="AI111" s="888">
        <f t="shared" si="78"/>
        <v>0</v>
      </c>
      <c r="AJ111" s="402"/>
      <c r="AK111" s="402"/>
      <c r="AL111" s="402"/>
      <c r="AM111" s="402"/>
      <c r="AN111" s="402" t="e">
        <f t="shared" si="70"/>
        <v>#DIV/0!</v>
      </c>
      <c r="AO111" s="402"/>
      <c r="AP111" s="402"/>
      <c r="AQ111" s="496"/>
      <c r="AR111" s="403"/>
      <c r="AS111" s="475"/>
      <c r="AT111" s="474"/>
      <c r="AU111" s="476"/>
      <c r="AV111" s="476"/>
      <c r="AW111" s="476"/>
    </row>
    <row r="112" spans="1:49" ht="51" x14ac:dyDescent="0.25">
      <c r="A112" s="555" t="s">
        <v>1590</v>
      </c>
      <c r="B112" s="554" t="s">
        <v>1724</v>
      </c>
      <c r="C112" s="548"/>
      <c r="D112" s="548"/>
      <c r="E112" s="548"/>
      <c r="F112" s="548"/>
      <c r="G112" s="548"/>
      <c r="H112" s="548"/>
      <c r="I112" s="548"/>
      <c r="J112" s="548"/>
      <c r="K112" s="549">
        <f>(K114*50%)+(K115*50%)</f>
        <v>1</v>
      </c>
      <c r="L112" s="549">
        <f>+SUMPRODUCT(L113:L115,AB113:AB115)</f>
        <v>1</v>
      </c>
      <c r="M112" s="549">
        <f>+SUMPRODUCT(M113:M115,AC113:AC115)</f>
        <v>1</v>
      </c>
      <c r="N112" s="570"/>
      <c r="O112" s="570"/>
      <c r="P112" s="570"/>
      <c r="Q112" s="570"/>
      <c r="R112" s="570"/>
      <c r="S112" s="570"/>
      <c r="T112" s="570"/>
      <c r="U112" s="570"/>
      <c r="V112" s="570"/>
      <c r="W112" s="570"/>
      <c r="X112" s="548">
        <v>1</v>
      </c>
      <c r="Y112" s="548"/>
      <c r="Z112" s="549">
        <f>+SUMPRODUCT(Z113:Z115,AA113:AA115)</f>
        <v>0.80333333333333345</v>
      </c>
      <c r="AA112" s="549">
        <v>0.25</v>
      </c>
      <c r="AB112" s="549">
        <v>0.25</v>
      </c>
      <c r="AC112" s="549">
        <v>0.25</v>
      </c>
      <c r="AD112" s="571">
        <v>473629350</v>
      </c>
      <c r="AE112" s="570">
        <v>473629350</v>
      </c>
      <c r="AF112" s="548">
        <f>AE112/AD112</f>
        <v>1</v>
      </c>
      <c r="AG112" s="570">
        <v>286814675</v>
      </c>
      <c r="AH112" s="548">
        <f t="shared" ref="AH112" si="101">+AG112/AD112</f>
        <v>0.6055677820641816</v>
      </c>
      <c r="AI112" s="886">
        <f>+AE112-AG112</f>
        <v>186814675</v>
      </c>
      <c r="AJ112" s="886">
        <v>50000000</v>
      </c>
      <c r="AK112" s="886">
        <v>50000000</v>
      </c>
      <c r="AL112" s="886">
        <v>0</v>
      </c>
      <c r="AM112" s="886">
        <v>0</v>
      </c>
      <c r="AN112" s="887" t="e">
        <f t="shared" si="70"/>
        <v>#DIV/0!</v>
      </c>
      <c r="AO112" s="570">
        <v>873911847</v>
      </c>
      <c r="AP112" s="571">
        <v>728629350</v>
      </c>
      <c r="AQ112" s="549">
        <f>AP112/AO112</f>
        <v>0.8337561191111762</v>
      </c>
      <c r="AR112" s="550"/>
      <c r="AS112" s="551" t="s">
        <v>1486</v>
      </c>
      <c r="AT112" s="552"/>
      <c r="AU112" s="553"/>
      <c r="AV112" s="553"/>
      <c r="AW112" s="553"/>
    </row>
    <row r="113" spans="1:49" ht="38.25" x14ac:dyDescent="0.25">
      <c r="A113" s="400" t="s">
        <v>1591</v>
      </c>
      <c r="B113" s="483" t="s">
        <v>1641</v>
      </c>
      <c r="C113" s="487">
        <v>0</v>
      </c>
      <c r="D113" s="483">
        <v>1</v>
      </c>
      <c r="E113" s="483">
        <v>1</v>
      </c>
      <c r="F113" s="483"/>
      <c r="G113" s="483">
        <v>1</v>
      </c>
      <c r="H113" s="483">
        <v>1</v>
      </c>
      <c r="I113" s="483"/>
      <c r="J113" s="483"/>
      <c r="K113" s="496" t="e">
        <f t="shared" ref="K113:K115" si="102">IF(F113/C113&gt;=100%,100%,F113/C113)</f>
        <v>#DIV/0!</v>
      </c>
      <c r="L113" s="496">
        <f t="shared" ref="L113:L115" si="103">IF(G113/D113&gt;=100%,100%,G113/D113)</f>
        <v>1</v>
      </c>
      <c r="M113" s="496">
        <f t="shared" ref="M113:M115" si="104">IF(H113/E113&gt;=100%,100%,H113/E113)</f>
        <v>1</v>
      </c>
      <c r="N113" s="407"/>
      <c r="O113" s="407"/>
      <c r="P113" s="407"/>
      <c r="Q113" s="407"/>
      <c r="R113" s="407"/>
      <c r="S113" s="407"/>
      <c r="T113" s="407"/>
      <c r="U113" s="407"/>
      <c r="V113" s="407"/>
      <c r="W113" s="407"/>
      <c r="X113" s="483">
        <v>3</v>
      </c>
      <c r="Y113" s="483">
        <f>SUM(F113:H113)</f>
        <v>2</v>
      </c>
      <c r="Z113" s="488">
        <f t="shared" ref="Z113:Z115" si="105">IF(Y113/X113&gt;=100%,100%,Y113/X113)</f>
        <v>0.66666666666666663</v>
      </c>
      <c r="AA113" s="497">
        <v>0.33</v>
      </c>
      <c r="AB113" s="497">
        <v>0.33</v>
      </c>
      <c r="AC113" s="497">
        <v>0.33</v>
      </c>
      <c r="AD113" s="408"/>
      <c r="AE113" s="408"/>
      <c r="AF113" s="497"/>
      <c r="AG113" s="408"/>
      <c r="AH113" s="497">
        <f t="shared" si="69"/>
        <v>0</v>
      </c>
      <c r="AI113" s="888">
        <f t="shared" si="78"/>
        <v>0</v>
      </c>
      <c r="AJ113" s="408"/>
      <c r="AK113" s="408"/>
      <c r="AL113" s="408"/>
      <c r="AM113" s="408"/>
      <c r="AN113" s="408" t="e">
        <f t="shared" si="70"/>
        <v>#DIV/0!</v>
      </c>
      <c r="AO113" s="408"/>
      <c r="AP113" s="408"/>
      <c r="AQ113" s="497"/>
      <c r="AR113" s="409"/>
      <c r="AS113" s="475"/>
      <c r="AT113" s="474"/>
      <c r="AU113" s="476"/>
      <c r="AV113" s="476"/>
      <c r="AW113" s="476"/>
    </row>
    <row r="114" spans="1:49" ht="38.25" x14ac:dyDescent="0.25">
      <c r="A114" s="400" t="s">
        <v>1592</v>
      </c>
      <c r="B114" s="483" t="s">
        <v>1641</v>
      </c>
      <c r="C114" s="483">
        <v>2</v>
      </c>
      <c r="D114" s="483">
        <v>3</v>
      </c>
      <c r="E114" s="483">
        <v>3</v>
      </c>
      <c r="F114" s="483">
        <v>4</v>
      </c>
      <c r="G114" s="483">
        <v>3</v>
      </c>
      <c r="H114" s="483">
        <v>3</v>
      </c>
      <c r="I114" s="483"/>
      <c r="J114" s="483"/>
      <c r="K114" s="496">
        <f t="shared" si="102"/>
        <v>1</v>
      </c>
      <c r="L114" s="496">
        <f t="shared" si="103"/>
        <v>1</v>
      </c>
      <c r="M114" s="496">
        <f t="shared" si="104"/>
        <v>1</v>
      </c>
      <c r="N114" s="407"/>
      <c r="O114" s="407"/>
      <c r="P114" s="407"/>
      <c r="Q114" s="407"/>
      <c r="R114" s="407"/>
      <c r="S114" s="407"/>
      <c r="T114" s="407"/>
      <c r="U114" s="407"/>
      <c r="V114" s="407"/>
      <c r="W114" s="407"/>
      <c r="X114" s="483">
        <v>11</v>
      </c>
      <c r="Y114" s="483">
        <f>SUM(F114:H114)</f>
        <v>10</v>
      </c>
      <c r="Z114" s="488">
        <f t="shared" si="105"/>
        <v>0.90909090909090906</v>
      </c>
      <c r="AA114" s="497">
        <v>0.33</v>
      </c>
      <c r="AB114" s="497">
        <v>0.33</v>
      </c>
      <c r="AC114" s="497">
        <v>0.33</v>
      </c>
      <c r="AD114" s="408"/>
      <c r="AE114" s="408"/>
      <c r="AF114" s="497"/>
      <c r="AG114" s="408"/>
      <c r="AH114" s="497">
        <f t="shared" si="69"/>
        <v>0</v>
      </c>
      <c r="AI114" s="888">
        <f t="shared" si="78"/>
        <v>0</v>
      </c>
      <c r="AJ114" s="408"/>
      <c r="AK114" s="408"/>
      <c r="AL114" s="408"/>
      <c r="AM114" s="408"/>
      <c r="AN114" s="408" t="e">
        <f t="shared" si="70"/>
        <v>#DIV/0!</v>
      </c>
      <c r="AO114" s="408"/>
      <c r="AP114" s="408"/>
      <c r="AQ114" s="497"/>
      <c r="AR114" s="409"/>
      <c r="AS114" s="475"/>
      <c r="AT114" s="474"/>
      <c r="AU114" s="476"/>
      <c r="AV114" s="476"/>
      <c r="AW114" s="476"/>
    </row>
    <row r="115" spans="1:49" ht="204" x14ac:dyDescent="0.25">
      <c r="A115" s="400" t="s">
        <v>1593</v>
      </c>
      <c r="B115" s="483" t="s">
        <v>1641</v>
      </c>
      <c r="C115" s="483">
        <v>3</v>
      </c>
      <c r="D115" s="483">
        <v>3</v>
      </c>
      <c r="E115" s="483">
        <v>3</v>
      </c>
      <c r="F115" s="483">
        <v>3</v>
      </c>
      <c r="G115" s="483">
        <v>3</v>
      </c>
      <c r="H115" s="483">
        <v>4</v>
      </c>
      <c r="I115" s="483"/>
      <c r="J115" s="483"/>
      <c r="K115" s="496">
        <f t="shared" si="102"/>
        <v>1</v>
      </c>
      <c r="L115" s="496">
        <f t="shared" si="103"/>
        <v>1</v>
      </c>
      <c r="M115" s="496">
        <f t="shared" si="104"/>
        <v>1</v>
      </c>
      <c r="N115" s="407"/>
      <c r="O115" s="407"/>
      <c r="P115" s="407"/>
      <c r="Q115" s="407"/>
      <c r="R115" s="407"/>
      <c r="S115" s="407"/>
      <c r="T115" s="407"/>
      <c r="U115" s="407"/>
      <c r="V115" s="407"/>
      <c r="W115" s="407"/>
      <c r="X115" s="483">
        <v>12</v>
      </c>
      <c r="Y115" s="483">
        <f>SUM(F115:H115)</f>
        <v>10</v>
      </c>
      <c r="Z115" s="488">
        <f t="shared" si="105"/>
        <v>0.83333333333333337</v>
      </c>
      <c r="AA115" s="497">
        <v>0.34</v>
      </c>
      <c r="AB115" s="497">
        <v>0.34</v>
      </c>
      <c r="AC115" s="497">
        <v>0.34</v>
      </c>
      <c r="AD115" s="408"/>
      <c r="AE115" s="408"/>
      <c r="AF115" s="497"/>
      <c r="AG115" s="408"/>
      <c r="AH115" s="497">
        <f t="shared" si="69"/>
        <v>0</v>
      </c>
      <c r="AI115" s="888">
        <f t="shared" si="78"/>
        <v>0</v>
      </c>
      <c r="AJ115" s="408"/>
      <c r="AK115" s="408"/>
      <c r="AL115" s="408"/>
      <c r="AM115" s="408"/>
      <c r="AN115" s="408" t="e">
        <f t="shared" si="70"/>
        <v>#DIV/0!</v>
      </c>
      <c r="AO115" s="408"/>
      <c r="AP115" s="408"/>
      <c r="AQ115" s="497"/>
      <c r="AR115" s="409"/>
      <c r="AS115" s="475"/>
      <c r="AT115" s="474" t="s">
        <v>280</v>
      </c>
      <c r="AU115" s="476"/>
      <c r="AV115" s="476"/>
      <c r="AW115" s="476"/>
    </row>
    <row r="116" spans="1:49" ht="51" x14ac:dyDescent="0.25">
      <c r="A116" s="555" t="s">
        <v>1594</v>
      </c>
      <c r="B116" s="554" t="s">
        <v>1724</v>
      </c>
      <c r="C116" s="548"/>
      <c r="D116" s="548"/>
      <c r="E116" s="548"/>
      <c r="F116" s="548"/>
      <c r="G116" s="548"/>
      <c r="H116" s="548"/>
      <c r="I116" s="548"/>
      <c r="J116" s="548"/>
      <c r="K116" s="549">
        <f>+(K117*50%)+(K118*50%)</f>
        <v>1</v>
      </c>
      <c r="L116" s="549">
        <f>+SUMPRODUCT(L117:L118,AB117:AB118)</f>
        <v>1</v>
      </c>
      <c r="M116" s="549">
        <f>+SUMPRODUCT(M117:M118,AC117:AC118)</f>
        <v>1</v>
      </c>
      <c r="N116" s="570"/>
      <c r="O116" s="570"/>
      <c r="P116" s="570"/>
      <c r="Q116" s="570"/>
      <c r="R116" s="570"/>
      <c r="S116" s="570"/>
      <c r="T116" s="570"/>
      <c r="U116" s="570"/>
      <c r="V116" s="570"/>
      <c r="W116" s="570"/>
      <c r="X116" s="548">
        <v>1</v>
      </c>
      <c r="Y116" s="548"/>
      <c r="Z116" s="549">
        <f>+SUMPRODUCT(Z117:Z118,AA117:AA118)</f>
        <v>1</v>
      </c>
      <c r="AA116" s="549">
        <v>0.25</v>
      </c>
      <c r="AB116" s="549">
        <v>0.25</v>
      </c>
      <c r="AC116" s="549">
        <v>0.25</v>
      </c>
      <c r="AD116" s="571">
        <v>54975433178</v>
      </c>
      <c r="AE116" s="570">
        <v>49582140398</v>
      </c>
      <c r="AF116" s="548">
        <f>AE116/AD116</f>
        <v>0.90189631134806081</v>
      </c>
      <c r="AG116" s="570">
        <v>1327691017</v>
      </c>
      <c r="AH116" s="548">
        <f t="shared" ref="AH116" si="106">+AG116/AD116</f>
        <v>2.4150624019663273E-2</v>
      </c>
      <c r="AI116" s="886">
        <f>+AE116-AG116</f>
        <v>48254449381</v>
      </c>
      <c r="AJ116" s="886">
        <v>514635276</v>
      </c>
      <c r="AK116" s="886">
        <v>514635276</v>
      </c>
      <c r="AL116" s="886">
        <f>2358091700+866596807+370000000</f>
        <v>3594688507</v>
      </c>
      <c r="AM116" s="886">
        <f>2303113571+849096806+370000000</f>
        <v>3522210377</v>
      </c>
      <c r="AN116" s="887">
        <f t="shared" si="70"/>
        <v>0.97983743797025469</v>
      </c>
      <c r="AO116" s="570">
        <v>83101629507</v>
      </c>
      <c r="AP116" s="571">
        <v>57513551192</v>
      </c>
      <c r="AQ116" s="549">
        <f>AP116/AO116</f>
        <v>0.69208692456692911</v>
      </c>
      <c r="AR116" s="550"/>
      <c r="AS116" s="551" t="s">
        <v>1486</v>
      </c>
      <c r="AT116" s="552"/>
      <c r="AU116" s="553"/>
      <c r="AV116" s="553"/>
      <c r="AW116" s="553"/>
    </row>
    <row r="117" spans="1:49" ht="25.5" x14ac:dyDescent="0.25">
      <c r="A117" s="400" t="s">
        <v>1595</v>
      </c>
      <c r="B117" s="483" t="s">
        <v>1702</v>
      </c>
      <c r="C117" s="483">
        <v>3</v>
      </c>
      <c r="D117" s="483">
        <v>2</v>
      </c>
      <c r="E117" s="483">
        <v>2</v>
      </c>
      <c r="F117" s="483">
        <v>5</v>
      </c>
      <c r="G117" s="483">
        <v>13</v>
      </c>
      <c r="H117" s="483">
        <v>4</v>
      </c>
      <c r="I117" s="483"/>
      <c r="J117" s="483"/>
      <c r="K117" s="496">
        <f t="shared" ref="K117:K118" si="107">IF(F117/C117&gt;=100%,100%,F117/C117)</f>
        <v>1</v>
      </c>
      <c r="L117" s="496">
        <f t="shared" ref="L117:L118" si="108">IF(G117/D117&gt;=100%,100%,G117/D117)</f>
        <v>1</v>
      </c>
      <c r="M117" s="496">
        <f t="shared" ref="M117:M118" si="109">IF(H117/E117&gt;=100%,100%,H117/E117)</f>
        <v>1</v>
      </c>
      <c r="N117" s="407"/>
      <c r="O117" s="407"/>
      <c r="P117" s="407"/>
      <c r="Q117" s="407"/>
      <c r="R117" s="407"/>
      <c r="S117" s="407"/>
      <c r="T117" s="407"/>
      <c r="U117" s="407"/>
      <c r="V117" s="407"/>
      <c r="W117" s="407"/>
      <c r="X117" s="483">
        <v>9</v>
      </c>
      <c r="Y117" s="483">
        <f>SUM(F117:H117)</f>
        <v>22</v>
      </c>
      <c r="Z117" s="488">
        <f t="shared" ref="Z117:Z118" si="110">IF(Y117/X117&gt;=100%,100%,Y117/X117)</f>
        <v>1</v>
      </c>
      <c r="AA117" s="497">
        <v>0.5</v>
      </c>
      <c r="AB117" s="497">
        <v>0.5</v>
      </c>
      <c r="AC117" s="497">
        <v>0.5</v>
      </c>
      <c r="AD117" s="408"/>
      <c r="AE117" s="408"/>
      <c r="AF117" s="497"/>
      <c r="AG117" s="408"/>
      <c r="AH117" s="497">
        <f t="shared" si="69"/>
        <v>0</v>
      </c>
      <c r="AI117" s="888">
        <f t="shared" si="78"/>
        <v>0</v>
      </c>
      <c r="AJ117" s="408"/>
      <c r="AK117" s="408"/>
      <c r="AL117" s="408"/>
      <c r="AM117" s="408"/>
      <c r="AN117" s="408" t="e">
        <f t="shared" si="70"/>
        <v>#DIV/0!</v>
      </c>
      <c r="AO117" s="408"/>
      <c r="AP117" s="408"/>
      <c r="AQ117" s="497"/>
      <c r="AR117" s="409"/>
      <c r="AS117" s="475"/>
      <c r="AT117" s="474"/>
      <c r="AU117" s="476"/>
      <c r="AV117" s="476"/>
      <c r="AW117" s="476"/>
    </row>
    <row r="118" spans="1:49" ht="39" thickBot="1" x14ac:dyDescent="0.3">
      <c r="A118" s="480" t="s">
        <v>1596</v>
      </c>
      <c r="B118" s="482" t="s">
        <v>1703</v>
      </c>
      <c r="C118" s="482">
        <v>3</v>
      </c>
      <c r="D118" s="482">
        <v>2</v>
      </c>
      <c r="E118" s="482">
        <v>2</v>
      </c>
      <c r="F118" s="482">
        <v>10</v>
      </c>
      <c r="G118" s="482">
        <v>10</v>
      </c>
      <c r="H118" s="482">
        <v>7</v>
      </c>
      <c r="I118" s="482"/>
      <c r="J118" s="482"/>
      <c r="K118" s="496">
        <f t="shared" si="107"/>
        <v>1</v>
      </c>
      <c r="L118" s="496">
        <f t="shared" si="108"/>
        <v>1</v>
      </c>
      <c r="M118" s="496">
        <f t="shared" si="109"/>
        <v>1</v>
      </c>
      <c r="N118" s="411"/>
      <c r="O118" s="411"/>
      <c r="P118" s="411"/>
      <c r="Q118" s="411"/>
      <c r="R118" s="411"/>
      <c r="S118" s="411"/>
      <c r="T118" s="411"/>
      <c r="U118" s="411"/>
      <c r="V118" s="411"/>
      <c r="W118" s="411"/>
      <c r="X118" s="482">
        <v>8</v>
      </c>
      <c r="Y118" s="482">
        <f>SUM(F118:H118)</f>
        <v>27</v>
      </c>
      <c r="Z118" s="489">
        <f t="shared" si="110"/>
        <v>1</v>
      </c>
      <c r="AA118" s="492">
        <v>0.5</v>
      </c>
      <c r="AB118" s="492">
        <v>0.5</v>
      </c>
      <c r="AC118" s="492">
        <v>0.5</v>
      </c>
      <c r="AD118" s="412"/>
      <c r="AE118" s="412"/>
      <c r="AF118" s="492"/>
      <c r="AG118" s="412"/>
      <c r="AH118" s="492">
        <f t="shared" si="69"/>
        <v>0</v>
      </c>
      <c r="AI118" s="888">
        <f t="shared" si="78"/>
        <v>0</v>
      </c>
      <c r="AJ118" s="412"/>
      <c r="AK118" s="412"/>
      <c r="AL118" s="412"/>
      <c r="AM118" s="412"/>
      <c r="AN118" s="412" t="e">
        <f t="shared" si="70"/>
        <v>#DIV/0!</v>
      </c>
      <c r="AO118" s="412"/>
      <c r="AP118" s="412"/>
      <c r="AQ118" s="492"/>
      <c r="AR118" s="413"/>
      <c r="AS118" s="477"/>
      <c r="AT118" s="478"/>
      <c r="AU118" s="479"/>
      <c r="AV118" s="479"/>
      <c r="AW118" s="479"/>
    </row>
    <row r="119" spans="1:49" ht="89.25" x14ac:dyDescent="0.25">
      <c r="A119" s="556" t="s">
        <v>1597</v>
      </c>
      <c r="B119" s="540"/>
      <c r="C119" s="541"/>
      <c r="D119" s="541"/>
      <c r="E119" s="541"/>
      <c r="F119" s="541"/>
      <c r="G119" s="541"/>
      <c r="H119" s="541"/>
      <c r="I119" s="541"/>
      <c r="J119" s="541"/>
      <c r="K119" s="541">
        <f>(K124)</f>
        <v>1</v>
      </c>
      <c r="L119" s="541">
        <f>+(L120*AA120)+(L124*AA124)</f>
        <v>0.91</v>
      </c>
      <c r="M119" s="541">
        <f>+(M120*AC120)+(M124*AC124)</f>
        <v>1</v>
      </c>
      <c r="N119" s="883"/>
      <c r="O119" s="883"/>
      <c r="P119" s="883"/>
      <c r="Q119" s="883"/>
      <c r="R119" s="883"/>
      <c r="S119" s="883"/>
      <c r="T119" s="883"/>
      <c r="U119" s="883"/>
      <c r="V119" s="883"/>
      <c r="W119" s="883"/>
      <c r="X119" s="541">
        <v>1</v>
      </c>
      <c r="Y119" s="541"/>
      <c r="Z119" s="541">
        <f>+(Z120*AA120)+(Z124*AA124)</f>
        <v>0.50694444444444442</v>
      </c>
      <c r="AA119" s="574">
        <v>0.14000000000000001</v>
      </c>
      <c r="AB119" s="574">
        <v>0.14000000000000001</v>
      </c>
      <c r="AC119" s="574">
        <v>0.14000000000000001</v>
      </c>
      <c r="AD119" s="542">
        <f>SUM(AD120:AD126)</f>
        <v>472708992</v>
      </c>
      <c r="AE119" s="542">
        <f>SUM(AE120:AE126)</f>
        <v>320000000</v>
      </c>
      <c r="AF119" s="543">
        <f>AE119/AD119</f>
        <v>0.67694925507150072</v>
      </c>
      <c r="AG119" s="542">
        <f>AG120+AG124</f>
        <v>208500000</v>
      </c>
      <c r="AH119" s="543">
        <f t="shared" ref="AH119:AH120" si="111">+AG119/AD119</f>
        <v>0.44107474900752469</v>
      </c>
      <c r="AI119" s="542">
        <f>AI120+AI124</f>
        <v>111500000</v>
      </c>
      <c r="AJ119" s="542">
        <f>AJ120+AJ124</f>
        <v>76500000</v>
      </c>
      <c r="AK119" s="542">
        <f>AK120+AK124</f>
        <v>76500000</v>
      </c>
      <c r="AL119" s="542">
        <f>AL120+AL124</f>
        <v>197491856</v>
      </c>
      <c r="AM119" s="542">
        <f>AM120+AM124</f>
        <v>47500000</v>
      </c>
      <c r="AN119" s="893">
        <f t="shared" si="70"/>
        <v>0.24051624690792314</v>
      </c>
      <c r="AO119" s="542">
        <f>SUM(AO120:AO126)</f>
        <v>1368345605.72</v>
      </c>
      <c r="AP119" s="542">
        <f>SUM(AP120:AP126)</f>
        <v>812991856</v>
      </c>
      <c r="AQ119" s="582">
        <f>AP119/AO119</f>
        <v>0.59414219083359254</v>
      </c>
      <c r="AR119" s="544"/>
      <c r="AS119" s="545" t="s">
        <v>1487</v>
      </c>
      <c r="AT119" s="544"/>
      <c r="AU119" s="546" t="s">
        <v>1168</v>
      </c>
      <c r="AV119" s="546" t="s">
        <v>1168</v>
      </c>
      <c r="AW119" s="546" t="s">
        <v>1168</v>
      </c>
    </row>
    <row r="120" spans="1:49" ht="89.25" x14ac:dyDescent="0.25">
      <c r="A120" s="555" t="s">
        <v>1598</v>
      </c>
      <c r="B120" s="554" t="s">
        <v>1724</v>
      </c>
      <c r="C120" s="548"/>
      <c r="D120" s="548"/>
      <c r="E120" s="548"/>
      <c r="F120" s="548"/>
      <c r="G120" s="548"/>
      <c r="H120" s="548"/>
      <c r="I120" s="548"/>
      <c r="J120" s="548"/>
      <c r="K120" s="549" t="e">
        <f>(+K121+K122+K123)/3</f>
        <v>#DIV/0!</v>
      </c>
      <c r="L120" s="549">
        <f>+SUMPRODUCT(L121:L122,AB121:AB122)</f>
        <v>1</v>
      </c>
      <c r="M120" s="549">
        <f>+(M121*AC121)</f>
        <v>1</v>
      </c>
      <c r="N120" s="570"/>
      <c r="O120" s="570"/>
      <c r="P120" s="570"/>
      <c r="Q120" s="570"/>
      <c r="R120" s="570"/>
      <c r="S120" s="570"/>
      <c r="T120" s="570"/>
      <c r="U120" s="570"/>
      <c r="V120" s="570"/>
      <c r="W120" s="570"/>
      <c r="X120" s="548">
        <v>1</v>
      </c>
      <c r="Y120" s="548"/>
      <c r="Z120" s="549">
        <f>+SUMPRODUCT(Z121:Z123,AA121:AA123)</f>
        <v>0.55000000000000004</v>
      </c>
      <c r="AA120" s="549">
        <v>0.5</v>
      </c>
      <c r="AB120" s="549">
        <v>0.5</v>
      </c>
      <c r="AC120" s="549">
        <v>0.5</v>
      </c>
      <c r="AD120" s="571">
        <v>0</v>
      </c>
      <c r="AE120" s="570">
        <v>0</v>
      </c>
      <c r="AF120" s="548" t="e">
        <f>AE120/AD120</f>
        <v>#DIV/0!</v>
      </c>
      <c r="AG120" s="570">
        <f>SUM(AG121:AG123)</f>
        <v>0</v>
      </c>
      <c r="AH120" s="548" t="e">
        <f t="shared" si="111"/>
        <v>#DIV/0!</v>
      </c>
      <c r="AI120" s="886">
        <f>+AE120-AG120</f>
        <v>0</v>
      </c>
      <c r="AJ120" s="886">
        <v>0</v>
      </c>
      <c r="AK120" s="886">
        <v>0</v>
      </c>
      <c r="AL120" s="886">
        <v>0</v>
      </c>
      <c r="AM120" s="886">
        <v>0</v>
      </c>
      <c r="AN120" s="887" t="e">
        <f t="shared" si="70"/>
        <v>#DIV/0!</v>
      </c>
      <c r="AO120" s="570">
        <v>0</v>
      </c>
      <c r="AP120" s="571">
        <v>0</v>
      </c>
      <c r="AQ120" s="549" t="e">
        <f>AP120/AO120</f>
        <v>#DIV/0!</v>
      </c>
      <c r="AR120" s="550"/>
      <c r="AS120" s="551" t="s">
        <v>1487</v>
      </c>
      <c r="AT120" s="552"/>
      <c r="AU120" s="553"/>
      <c r="AV120" s="553"/>
      <c r="AW120" s="553"/>
    </row>
    <row r="121" spans="1:49" ht="38.25" x14ac:dyDescent="0.25">
      <c r="A121" s="400" t="s">
        <v>1599</v>
      </c>
      <c r="B121" s="484" t="s">
        <v>1641</v>
      </c>
      <c r="C121" s="487">
        <v>0</v>
      </c>
      <c r="D121" s="483">
        <v>1</v>
      </c>
      <c r="E121" s="483">
        <v>1</v>
      </c>
      <c r="F121" s="484"/>
      <c r="G121" s="484">
        <v>1</v>
      </c>
      <c r="H121" s="484">
        <v>1</v>
      </c>
      <c r="I121" s="484"/>
      <c r="J121" s="484"/>
      <c r="K121" s="496" t="e">
        <f t="shared" ref="K121:K123" si="112">IF(F121/C121&gt;=100%,100%,F121/C121)</f>
        <v>#DIV/0!</v>
      </c>
      <c r="L121" s="496">
        <f t="shared" ref="L121:L123" si="113">IF(G121/D121&gt;=100%,100%,G121/D121)</f>
        <v>1</v>
      </c>
      <c r="M121" s="496">
        <f t="shared" ref="M121:M123" si="114">IF(H121/E121&gt;=100%,100%,H121/E121)</f>
        <v>1</v>
      </c>
      <c r="N121" s="884"/>
      <c r="O121" s="884"/>
      <c r="P121" s="884"/>
      <c r="Q121" s="884"/>
      <c r="R121" s="884"/>
      <c r="S121" s="884"/>
      <c r="T121" s="884"/>
      <c r="U121" s="884"/>
      <c r="V121" s="884"/>
      <c r="W121" s="884"/>
      <c r="X121" s="484">
        <v>3</v>
      </c>
      <c r="Y121" s="484">
        <f>SUM(F121:H121)</f>
        <v>2</v>
      </c>
      <c r="Z121" s="488">
        <f t="shared" ref="Z121:Z123" si="115">IF(Y121/X121&gt;=100%,100%,Y121/X121)</f>
        <v>0.66666666666666663</v>
      </c>
      <c r="AA121" s="497">
        <v>0.33</v>
      </c>
      <c r="AB121" s="497">
        <v>0.5</v>
      </c>
      <c r="AC121" s="497">
        <v>1</v>
      </c>
      <c r="AD121" s="408"/>
      <c r="AE121" s="408"/>
      <c r="AF121" s="497"/>
      <c r="AG121" s="408"/>
      <c r="AH121" s="497">
        <f t="shared" si="69"/>
        <v>0</v>
      </c>
      <c r="AI121" s="888">
        <f t="shared" si="78"/>
        <v>0</v>
      </c>
      <c r="AJ121" s="408"/>
      <c r="AK121" s="408"/>
      <c r="AL121" s="408"/>
      <c r="AM121" s="408"/>
      <c r="AN121" s="408" t="e">
        <f t="shared" si="70"/>
        <v>#DIV/0!</v>
      </c>
      <c r="AO121" s="408"/>
      <c r="AP121" s="408"/>
      <c r="AQ121" s="497"/>
      <c r="AR121" s="409"/>
      <c r="AS121" s="475"/>
      <c r="AT121" s="474"/>
      <c r="AU121" s="476"/>
      <c r="AV121" s="476"/>
      <c r="AW121" s="476"/>
    </row>
    <row r="122" spans="1:49" ht="102" x14ac:dyDescent="0.25">
      <c r="A122" s="400" t="s">
        <v>1600</v>
      </c>
      <c r="B122" s="484" t="s">
        <v>1704</v>
      </c>
      <c r="C122" s="487">
        <v>0</v>
      </c>
      <c r="D122" s="483">
        <v>1</v>
      </c>
      <c r="E122" s="483"/>
      <c r="F122" s="484"/>
      <c r="G122" s="484">
        <v>1</v>
      </c>
      <c r="H122" s="484"/>
      <c r="I122" s="484"/>
      <c r="J122" s="484"/>
      <c r="K122" s="496" t="e">
        <f t="shared" si="112"/>
        <v>#DIV/0!</v>
      </c>
      <c r="L122" s="496">
        <f t="shared" si="113"/>
        <v>1</v>
      </c>
      <c r="M122" s="496" t="e">
        <f t="shared" si="114"/>
        <v>#DIV/0!</v>
      </c>
      <c r="N122" s="884"/>
      <c r="O122" s="884"/>
      <c r="P122" s="884"/>
      <c r="Q122" s="884"/>
      <c r="R122" s="884"/>
      <c r="S122" s="884"/>
      <c r="T122" s="884"/>
      <c r="U122" s="884"/>
      <c r="V122" s="884"/>
      <c r="W122" s="884"/>
      <c r="X122" s="484">
        <v>1</v>
      </c>
      <c r="Y122" s="484">
        <f>SUM(F122:H122)</f>
        <v>1</v>
      </c>
      <c r="Z122" s="488">
        <f t="shared" si="115"/>
        <v>1</v>
      </c>
      <c r="AA122" s="497">
        <v>0.33</v>
      </c>
      <c r="AB122" s="497">
        <v>0.5</v>
      </c>
      <c r="AC122" s="497">
        <v>0</v>
      </c>
      <c r="AD122" s="408"/>
      <c r="AE122" s="408"/>
      <c r="AF122" s="497"/>
      <c r="AG122" s="408"/>
      <c r="AH122" s="497">
        <f t="shared" si="69"/>
        <v>0</v>
      </c>
      <c r="AI122" s="888">
        <f t="shared" si="78"/>
        <v>0</v>
      </c>
      <c r="AJ122" s="408"/>
      <c r="AK122" s="408"/>
      <c r="AL122" s="408"/>
      <c r="AM122" s="408"/>
      <c r="AN122" s="408" t="e">
        <f t="shared" si="70"/>
        <v>#DIV/0!</v>
      </c>
      <c r="AO122" s="408"/>
      <c r="AP122" s="408"/>
      <c r="AQ122" s="497"/>
      <c r="AR122" s="409"/>
      <c r="AS122" s="475"/>
      <c r="AT122" s="474"/>
      <c r="AU122" s="476"/>
      <c r="AV122" s="476"/>
      <c r="AW122" s="476"/>
    </row>
    <row r="123" spans="1:49" ht="51" x14ac:dyDescent="0.25">
      <c r="A123" s="400" t="s">
        <v>1601</v>
      </c>
      <c r="B123" s="484" t="s">
        <v>1705</v>
      </c>
      <c r="C123" s="487">
        <v>0</v>
      </c>
      <c r="D123" s="487">
        <v>0</v>
      </c>
      <c r="E123" s="487">
        <v>0</v>
      </c>
      <c r="F123" s="484"/>
      <c r="G123" s="484"/>
      <c r="H123" s="487">
        <v>0</v>
      </c>
      <c r="I123" s="484"/>
      <c r="J123" s="484"/>
      <c r="K123" s="496" t="e">
        <f t="shared" si="112"/>
        <v>#DIV/0!</v>
      </c>
      <c r="L123" s="496" t="e">
        <f t="shared" si="113"/>
        <v>#DIV/0!</v>
      </c>
      <c r="M123" s="496" t="e">
        <f t="shared" si="114"/>
        <v>#DIV/0!</v>
      </c>
      <c r="N123" s="884"/>
      <c r="O123" s="884"/>
      <c r="P123" s="884"/>
      <c r="Q123" s="884"/>
      <c r="R123" s="884"/>
      <c r="S123" s="884"/>
      <c r="T123" s="884"/>
      <c r="U123" s="884"/>
      <c r="V123" s="884"/>
      <c r="W123" s="884"/>
      <c r="X123" s="484">
        <v>1</v>
      </c>
      <c r="Y123" s="484">
        <f>SUM(F123:H123)</f>
        <v>0</v>
      </c>
      <c r="Z123" s="488">
        <f t="shared" si="115"/>
        <v>0</v>
      </c>
      <c r="AA123" s="497">
        <v>0.34</v>
      </c>
      <c r="AB123" s="497">
        <v>0</v>
      </c>
      <c r="AC123" s="497">
        <v>0</v>
      </c>
      <c r="AD123" s="408"/>
      <c r="AE123" s="408"/>
      <c r="AF123" s="497"/>
      <c r="AG123" s="408"/>
      <c r="AH123" s="497" t="e">
        <f t="shared" si="69"/>
        <v>#DIV/0!</v>
      </c>
      <c r="AI123" s="888">
        <f t="shared" si="78"/>
        <v>0</v>
      </c>
      <c r="AJ123" s="408"/>
      <c r="AK123" s="408"/>
      <c r="AL123" s="408"/>
      <c r="AM123" s="408"/>
      <c r="AN123" s="408" t="e">
        <f t="shared" si="70"/>
        <v>#DIV/0!</v>
      </c>
      <c r="AO123" s="408"/>
      <c r="AP123" s="408"/>
      <c r="AQ123" s="497"/>
      <c r="AR123" s="497"/>
      <c r="AS123" s="475"/>
      <c r="AT123" s="474"/>
      <c r="AU123" s="476"/>
      <c r="AV123" s="476"/>
      <c r="AW123" s="476"/>
    </row>
    <row r="124" spans="1:49" ht="89.25" x14ac:dyDescent="0.25">
      <c r="A124" s="555" t="s">
        <v>1602</v>
      </c>
      <c r="B124" s="554" t="s">
        <v>1724</v>
      </c>
      <c r="C124" s="548"/>
      <c r="D124" s="548"/>
      <c r="E124" s="548"/>
      <c r="F124" s="548"/>
      <c r="G124" s="548"/>
      <c r="H124" s="548"/>
      <c r="I124" s="548"/>
      <c r="J124" s="548"/>
      <c r="K124" s="549">
        <f>(K126)</f>
        <v>1</v>
      </c>
      <c r="L124" s="549">
        <f>+SUMPRODUCT(L125:L126,AB125:AB126)</f>
        <v>0.82000000000000006</v>
      </c>
      <c r="M124" s="549">
        <f>+(M126*AC126)</f>
        <v>1</v>
      </c>
      <c r="N124" s="570"/>
      <c r="O124" s="570"/>
      <c r="P124" s="570"/>
      <c r="Q124" s="570"/>
      <c r="R124" s="570"/>
      <c r="S124" s="570"/>
      <c r="T124" s="570"/>
      <c r="U124" s="570"/>
      <c r="V124" s="570"/>
      <c r="W124" s="570"/>
      <c r="X124" s="548">
        <v>1</v>
      </c>
      <c r="Y124" s="548"/>
      <c r="Z124" s="549">
        <f>+SUMPRODUCT(Z125:Z126,AA125:AA126)</f>
        <v>0.46388888888888891</v>
      </c>
      <c r="AA124" s="549">
        <v>0.5</v>
      </c>
      <c r="AB124" s="549">
        <v>0.5</v>
      </c>
      <c r="AC124" s="549">
        <v>0.5</v>
      </c>
      <c r="AD124" s="571">
        <v>472708992</v>
      </c>
      <c r="AE124" s="570">
        <v>320000000</v>
      </c>
      <c r="AF124" s="548">
        <f>AE124/AD124</f>
        <v>0.67694925507150072</v>
      </c>
      <c r="AG124" s="570">
        <v>208500000</v>
      </c>
      <c r="AH124" s="548">
        <f t="shared" ref="AH124" si="116">+AG124/AD124</f>
        <v>0.44107474900752469</v>
      </c>
      <c r="AI124" s="886">
        <f>+AE124-AG124</f>
        <v>111500000</v>
      </c>
      <c r="AJ124" s="905">
        <f>74554676+1945324</f>
        <v>76500000</v>
      </c>
      <c r="AK124" s="905">
        <f>74554676+1945324</f>
        <v>76500000</v>
      </c>
      <c r="AL124" s="905">
        <f>72491856+125000000</f>
        <v>197491856</v>
      </c>
      <c r="AM124" s="905">
        <v>47500000</v>
      </c>
      <c r="AN124" s="887">
        <f t="shared" si="70"/>
        <v>0.24051624690792314</v>
      </c>
      <c r="AO124" s="570">
        <v>1368345605.72</v>
      </c>
      <c r="AP124" s="571">
        <v>812991856</v>
      </c>
      <c r="AQ124" s="549">
        <f>AP124/AO124</f>
        <v>0.59414219083359254</v>
      </c>
      <c r="AR124" s="550"/>
      <c r="AS124" s="551" t="s">
        <v>1487</v>
      </c>
      <c r="AT124" s="552"/>
      <c r="AU124" s="553"/>
      <c r="AV124" s="553"/>
      <c r="AW124" s="553"/>
    </row>
    <row r="125" spans="1:49" ht="76.5" x14ac:dyDescent="0.25">
      <c r="A125" s="400" t="s">
        <v>1603</v>
      </c>
      <c r="B125" s="484" t="s">
        <v>1706</v>
      </c>
      <c r="C125" s="487">
        <v>0</v>
      </c>
      <c r="D125" s="483">
        <v>50</v>
      </c>
      <c r="E125" s="483">
        <v>60</v>
      </c>
      <c r="F125" s="484"/>
      <c r="G125" s="484">
        <v>32</v>
      </c>
      <c r="H125" s="484">
        <v>0</v>
      </c>
      <c r="I125" s="484"/>
      <c r="J125" s="484"/>
      <c r="K125" s="496" t="e">
        <f t="shared" ref="K125:K126" si="117">IF(F125/C125&gt;=100%,100%,F125/C125)</f>
        <v>#DIV/0!</v>
      </c>
      <c r="L125" s="496">
        <f t="shared" ref="L125:L126" si="118">IF(G125/D125&gt;=100%,100%,G125/D125)</f>
        <v>0.64</v>
      </c>
      <c r="M125" s="496">
        <f t="shared" ref="M125:M126" si="119">IF(H125/E125&gt;=100%,100%,H125/E125)</f>
        <v>0</v>
      </c>
      <c r="N125" s="884"/>
      <c r="O125" s="884"/>
      <c r="P125" s="884"/>
      <c r="Q125" s="884"/>
      <c r="R125" s="884"/>
      <c r="S125" s="884"/>
      <c r="T125" s="884"/>
      <c r="U125" s="884"/>
      <c r="V125" s="884"/>
      <c r="W125" s="884"/>
      <c r="X125" s="484">
        <v>180</v>
      </c>
      <c r="Y125" s="484">
        <f>SUM(F125:H125)</f>
        <v>32</v>
      </c>
      <c r="Z125" s="488">
        <f t="shared" ref="Z125:Z126" si="120">IF(Y125/X125&gt;=100%,100%,Y125/X125)</f>
        <v>0.17777777777777778</v>
      </c>
      <c r="AA125" s="497">
        <v>0.5</v>
      </c>
      <c r="AB125" s="497">
        <v>0.5</v>
      </c>
      <c r="AC125" s="497">
        <v>0</v>
      </c>
      <c r="AD125" s="408"/>
      <c r="AE125" s="408"/>
      <c r="AF125" s="497"/>
      <c r="AG125" s="408"/>
      <c r="AH125" s="497">
        <f t="shared" si="69"/>
        <v>0</v>
      </c>
      <c r="AI125" s="888">
        <f t="shared" si="78"/>
        <v>0</v>
      </c>
      <c r="AJ125" s="408"/>
      <c r="AK125" s="408"/>
      <c r="AL125" s="408"/>
      <c r="AM125" s="408"/>
      <c r="AN125" s="408" t="e">
        <f t="shared" si="70"/>
        <v>#DIV/0!</v>
      </c>
      <c r="AO125" s="408"/>
      <c r="AP125" s="408"/>
      <c r="AQ125" s="497"/>
      <c r="AR125" s="409"/>
      <c r="AS125" s="475"/>
      <c r="AT125" s="474"/>
      <c r="AU125" s="476"/>
      <c r="AV125" s="476"/>
      <c r="AW125" s="476"/>
    </row>
    <row r="126" spans="1:49" ht="51.75" thickBot="1" x14ac:dyDescent="0.3">
      <c r="A126" s="480" t="s">
        <v>1604</v>
      </c>
      <c r="B126" s="482" t="s">
        <v>1707</v>
      </c>
      <c r="C126" s="482">
        <v>1</v>
      </c>
      <c r="D126" s="482">
        <v>1</v>
      </c>
      <c r="E126" s="482">
        <v>1</v>
      </c>
      <c r="F126" s="482">
        <v>1</v>
      </c>
      <c r="G126" s="482">
        <v>1</v>
      </c>
      <c r="H126" s="482">
        <v>1</v>
      </c>
      <c r="I126" s="482"/>
      <c r="J126" s="482"/>
      <c r="K126" s="496">
        <f t="shared" si="117"/>
        <v>1</v>
      </c>
      <c r="L126" s="496">
        <f t="shared" si="118"/>
        <v>1</v>
      </c>
      <c r="M126" s="496">
        <f t="shared" si="119"/>
        <v>1</v>
      </c>
      <c r="N126" s="411"/>
      <c r="O126" s="411"/>
      <c r="P126" s="411"/>
      <c r="Q126" s="411"/>
      <c r="R126" s="411"/>
      <c r="S126" s="411"/>
      <c r="T126" s="411"/>
      <c r="U126" s="411"/>
      <c r="V126" s="411"/>
      <c r="W126" s="411"/>
      <c r="X126" s="482">
        <v>4</v>
      </c>
      <c r="Y126" s="482">
        <f>SUM(F126:H126)</f>
        <v>3</v>
      </c>
      <c r="Z126" s="489">
        <f t="shared" si="120"/>
        <v>0.75</v>
      </c>
      <c r="AA126" s="492">
        <v>0.5</v>
      </c>
      <c r="AB126" s="492">
        <v>0.5</v>
      </c>
      <c r="AC126" s="492">
        <v>1</v>
      </c>
      <c r="AD126" s="412"/>
      <c r="AE126" s="412"/>
      <c r="AF126" s="492"/>
      <c r="AG126" s="412"/>
      <c r="AH126" s="492">
        <f t="shared" si="69"/>
        <v>0</v>
      </c>
      <c r="AI126" s="888">
        <f t="shared" si="78"/>
        <v>0</v>
      </c>
      <c r="AJ126" s="412"/>
      <c r="AK126" s="412"/>
      <c r="AL126" s="412"/>
      <c r="AM126" s="412"/>
      <c r="AN126" s="412" t="e">
        <f t="shared" si="70"/>
        <v>#DIV/0!</v>
      </c>
      <c r="AO126" s="412"/>
      <c r="AP126" s="412"/>
      <c r="AQ126" s="492"/>
      <c r="AR126" s="413"/>
      <c r="AS126" s="477"/>
      <c r="AT126" s="478"/>
      <c r="AU126" s="479"/>
      <c r="AV126" s="479"/>
      <c r="AW126" s="479"/>
    </row>
    <row r="127" spans="1:49" ht="63.75" x14ac:dyDescent="0.25">
      <c r="A127" s="556" t="s">
        <v>1605</v>
      </c>
      <c r="B127" s="540"/>
      <c r="C127" s="541"/>
      <c r="D127" s="541"/>
      <c r="E127" s="541"/>
      <c r="F127" s="541"/>
      <c r="G127" s="541"/>
      <c r="H127" s="541"/>
      <c r="I127" s="541"/>
      <c r="J127" s="541"/>
      <c r="K127" s="541">
        <f>(K128)</f>
        <v>1</v>
      </c>
      <c r="L127" s="541">
        <f>(L128*AA128)+(L131*AA131)</f>
        <v>1</v>
      </c>
      <c r="M127" s="541">
        <f>(M128*AC128)+(M131*AC131)</f>
        <v>0.5</v>
      </c>
      <c r="N127" s="883"/>
      <c r="O127" s="883"/>
      <c r="P127" s="883"/>
      <c r="Q127" s="883"/>
      <c r="R127" s="883"/>
      <c r="S127" s="883"/>
      <c r="T127" s="883"/>
      <c r="U127" s="883"/>
      <c r="V127" s="883"/>
      <c r="W127" s="883"/>
      <c r="X127" s="541">
        <v>1</v>
      </c>
      <c r="Y127" s="541"/>
      <c r="Z127" s="541">
        <f>+(Z128*AA128)+(Z131*AA131)</f>
        <v>0.47499999999999998</v>
      </c>
      <c r="AA127" s="574">
        <v>0.14000000000000001</v>
      </c>
      <c r="AB127" s="574">
        <v>0.14000000000000001</v>
      </c>
      <c r="AC127" s="574">
        <v>0.14000000000000001</v>
      </c>
      <c r="AD127" s="542">
        <f>SUM(AD128:AD132)</f>
        <v>100000000</v>
      </c>
      <c r="AE127" s="542">
        <f>SUM(AE128:AE132)</f>
        <v>100000000</v>
      </c>
      <c r="AF127" s="543">
        <f>AE127/AD127</f>
        <v>1</v>
      </c>
      <c r="AG127" s="542">
        <f t="shared" ref="AG127:AM127" si="121">+AG128+AG1331</f>
        <v>50000000</v>
      </c>
      <c r="AH127" s="543">
        <f t="shared" ref="AH127:AH128" si="122">+AG127/AD127</f>
        <v>0.5</v>
      </c>
      <c r="AI127" s="542">
        <f t="shared" si="121"/>
        <v>50000000</v>
      </c>
      <c r="AJ127" s="542">
        <f t="shared" si="121"/>
        <v>0</v>
      </c>
      <c r="AK127" s="542">
        <f t="shared" si="121"/>
        <v>0</v>
      </c>
      <c r="AL127" s="542">
        <f t="shared" si="121"/>
        <v>0</v>
      </c>
      <c r="AM127" s="542">
        <f t="shared" si="121"/>
        <v>0</v>
      </c>
      <c r="AN127" s="893" t="e">
        <f t="shared" si="70"/>
        <v>#DIV/0!</v>
      </c>
      <c r="AO127" s="542">
        <f>SUM(AO128:AO132)</f>
        <v>240000000</v>
      </c>
      <c r="AP127" s="542">
        <f>SUM(AP128:AP132)</f>
        <v>100000000</v>
      </c>
      <c r="AQ127" s="582">
        <f>AP127/AO127</f>
        <v>0.41666666666666669</v>
      </c>
      <c r="AR127" s="544"/>
      <c r="AS127" s="545" t="s">
        <v>1488</v>
      </c>
      <c r="AT127" s="544"/>
      <c r="AU127" s="546" t="s">
        <v>1764</v>
      </c>
      <c r="AV127" s="546" t="s">
        <v>1764</v>
      </c>
      <c r="AW127" s="546" t="s">
        <v>1764</v>
      </c>
    </row>
    <row r="128" spans="1:49" ht="63.75" x14ac:dyDescent="0.25">
      <c r="A128" s="555" t="s">
        <v>1606</v>
      </c>
      <c r="B128" s="554" t="s">
        <v>1724</v>
      </c>
      <c r="C128" s="548"/>
      <c r="D128" s="548"/>
      <c r="E128" s="548"/>
      <c r="F128" s="548"/>
      <c r="G128" s="548"/>
      <c r="H128" s="548"/>
      <c r="I128" s="548"/>
      <c r="J128" s="548"/>
      <c r="K128" s="549">
        <f>+(K129*AA129)+(K130*AA130)</f>
        <v>1</v>
      </c>
      <c r="L128" s="549">
        <f>+(L129*AB129)+(L130*AB130)</f>
        <v>1</v>
      </c>
      <c r="M128" s="549">
        <f>+(M129*AC129)+(M130*AC130)</f>
        <v>1</v>
      </c>
      <c r="N128" s="570"/>
      <c r="O128" s="570"/>
      <c r="P128" s="570"/>
      <c r="Q128" s="570"/>
      <c r="R128" s="570"/>
      <c r="S128" s="570"/>
      <c r="T128" s="570"/>
      <c r="U128" s="570"/>
      <c r="V128" s="570"/>
      <c r="W128" s="570"/>
      <c r="X128" s="548">
        <v>1</v>
      </c>
      <c r="Y128" s="548"/>
      <c r="Z128" s="549">
        <f>+SUMPRODUCT(Z129:Z130,AA129:AA130)</f>
        <v>0.65</v>
      </c>
      <c r="AA128" s="549">
        <v>0.5</v>
      </c>
      <c r="AB128" s="549">
        <v>0.5</v>
      </c>
      <c r="AC128" s="549">
        <v>0.5</v>
      </c>
      <c r="AD128" s="571">
        <v>100000000</v>
      </c>
      <c r="AE128" s="570">
        <v>100000000</v>
      </c>
      <c r="AF128" s="548">
        <f>AE128/AD128</f>
        <v>1</v>
      </c>
      <c r="AG128" s="570">
        <v>50000000</v>
      </c>
      <c r="AH128" s="548">
        <f t="shared" si="122"/>
        <v>0.5</v>
      </c>
      <c r="AI128" s="886">
        <f>+AE128-AG128</f>
        <v>50000000</v>
      </c>
      <c r="AJ128" s="886">
        <v>0</v>
      </c>
      <c r="AK128" s="886">
        <v>0</v>
      </c>
      <c r="AL128" s="886">
        <v>0</v>
      </c>
      <c r="AM128" s="886">
        <v>0</v>
      </c>
      <c r="AN128" s="887" t="e">
        <f t="shared" si="70"/>
        <v>#DIV/0!</v>
      </c>
      <c r="AO128" s="570">
        <v>240000000</v>
      </c>
      <c r="AP128" s="571">
        <v>100000000</v>
      </c>
      <c r="AQ128" s="549">
        <f>AP128/AO128</f>
        <v>0.41666666666666669</v>
      </c>
      <c r="AR128" s="550"/>
      <c r="AS128" s="551" t="s">
        <v>1488</v>
      </c>
      <c r="AT128" s="552"/>
      <c r="AU128" s="553"/>
      <c r="AV128" s="553"/>
      <c r="AW128" s="553"/>
    </row>
    <row r="129" spans="1:49" ht="63.75" x14ac:dyDescent="0.25">
      <c r="A129" s="404" t="s">
        <v>1607</v>
      </c>
      <c r="B129" s="484" t="s">
        <v>1641</v>
      </c>
      <c r="C129" s="484">
        <v>1</v>
      </c>
      <c r="D129" s="484">
        <v>3</v>
      </c>
      <c r="E129" s="484">
        <v>3</v>
      </c>
      <c r="F129" s="484">
        <v>1</v>
      </c>
      <c r="G129" s="484">
        <v>3</v>
      </c>
      <c r="H129" s="484">
        <v>3</v>
      </c>
      <c r="I129" s="484"/>
      <c r="J129" s="484"/>
      <c r="K129" s="496">
        <f t="shared" ref="K129:K130" si="123">IF(F129/C129&gt;=100%,100%,F129/C129)</f>
        <v>1</v>
      </c>
      <c r="L129" s="496">
        <f t="shared" ref="L129:L130" si="124">IF(G129/D129&gt;=100%,100%,G129/D129)</f>
        <v>1</v>
      </c>
      <c r="M129" s="496">
        <f t="shared" ref="M129:M130" si="125">IF(H129/E129&gt;=100%,100%,H129/E129)</f>
        <v>1</v>
      </c>
      <c r="N129" s="884"/>
      <c r="O129" s="884"/>
      <c r="P129" s="884"/>
      <c r="Q129" s="884"/>
      <c r="R129" s="884"/>
      <c r="S129" s="884"/>
      <c r="T129" s="884"/>
      <c r="U129" s="884"/>
      <c r="V129" s="884"/>
      <c r="W129" s="884"/>
      <c r="X129" s="484">
        <v>10</v>
      </c>
      <c r="Y129" s="484">
        <f>SUM(F129:H129)</f>
        <v>7</v>
      </c>
      <c r="Z129" s="488">
        <f t="shared" ref="Z129:Z130" si="126">IF(Y129/X129&gt;=100%,100%,Y129/X129)</f>
        <v>0.7</v>
      </c>
      <c r="AA129" s="497">
        <v>0.5</v>
      </c>
      <c r="AB129" s="497">
        <v>0.5</v>
      </c>
      <c r="AC129" s="497">
        <v>0.5</v>
      </c>
      <c r="AD129" s="408"/>
      <c r="AE129" s="408"/>
      <c r="AF129" s="497"/>
      <c r="AG129" s="408"/>
      <c r="AH129" s="497">
        <f t="shared" si="69"/>
        <v>0</v>
      </c>
      <c r="AI129" s="888">
        <f t="shared" si="78"/>
        <v>0</v>
      </c>
      <c r="AJ129" s="408"/>
      <c r="AK129" s="408"/>
      <c r="AL129" s="408"/>
      <c r="AM129" s="408"/>
      <c r="AN129" s="408" t="e">
        <f t="shared" si="70"/>
        <v>#DIV/0!</v>
      </c>
      <c r="AO129" s="408"/>
      <c r="AP129" s="408"/>
      <c r="AQ129" s="497"/>
      <c r="AR129" s="409"/>
      <c r="AS129" s="475"/>
      <c r="AT129" s="474" t="s">
        <v>585</v>
      </c>
      <c r="AU129" s="476"/>
      <c r="AV129" s="476"/>
      <c r="AW129" s="476"/>
    </row>
    <row r="130" spans="1:49" ht="63.75" x14ac:dyDescent="0.25">
      <c r="A130" s="400" t="s">
        <v>1608</v>
      </c>
      <c r="B130" s="484" t="s">
        <v>1708</v>
      </c>
      <c r="C130" s="491">
        <v>0.1</v>
      </c>
      <c r="D130" s="491">
        <v>0.2</v>
      </c>
      <c r="E130" s="491">
        <v>0.3</v>
      </c>
      <c r="F130" s="491">
        <v>0.1</v>
      </c>
      <c r="G130" s="491">
        <v>0.2</v>
      </c>
      <c r="H130" s="491">
        <v>0.3</v>
      </c>
      <c r="I130" s="491"/>
      <c r="J130" s="491"/>
      <c r="K130" s="496">
        <f t="shared" si="123"/>
        <v>1</v>
      </c>
      <c r="L130" s="496">
        <f t="shared" si="124"/>
        <v>1</v>
      </c>
      <c r="M130" s="496">
        <f t="shared" si="125"/>
        <v>1</v>
      </c>
      <c r="N130" s="884"/>
      <c r="O130" s="884"/>
      <c r="P130" s="884"/>
      <c r="Q130" s="884"/>
      <c r="R130" s="884"/>
      <c r="S130" s="884"/>
      <c r="T130" s="884"/>
      <c r="U130" s="884"/>
      <c r="V130" s="884"/>
      <c r="W130" s="884"/>
      <c r="X130" s="488">
        <v>1</v>
      </c>
      <c r="Y130" s="488">
        <f>SUM(F130:H130)</f>
        <v>0.60000000000000009</v>
      </c>
      <c r="Z130" s="488">
        <f t="shared" si="126"/>
        <v>0.60000000000000009</v>
      </c>
      <c r="AA130" s="497">
        <v>0.5</v>
      </c>
      <c r="AB130" s="497">
        <v>0.5</v>
      </c>
      <c r="AC130" s="497">
        <v>0.5</v>
      </c>
      <c r="AD130" s="408"/>
      <c r="AE130" s="408"/>
      <c r="AF130" s="497"/>
      <c r="AG130" s="408"/>
      <c r="AH130" s="497">
        <f t="shared" si="69"/>
        <v>0</v>
      </c>
      <c r="AI130" s="888">
        <f t="shared" si="78"/>
        <v>0</v>
      </c>
      <c r="AJ130" s="408"/>
      <c r="AK130" s="408"/>
      <c r="AL130" s="408"/>
      <c r="AM130" s="408"/>
      <c r="AN130" s="408" t="e">
        <f t="shared" si="70"/>
        <v>#DIV/0!</v>
      </c>
      <c r="AO130" s="408"/>
      <c r="AP130" s="408"/>
      <c r="AQ130" s="497"/>
      <c r="AR130" s="409"/>
      <c r="AS130" s="475"/>
      <c r="AT130" s="474" t="s">
        <v>585</v>
      </c>
      <c r="AU130" s="476"/>
      <c r="AV130" s="476"/>
      <c r="AW130" s="476"/>
    </row>
    <row r="131" spans="1:49" ht="63.75" x14ac:dyDescent="0.25">
      <c r="A131" s="555" t="s">
        <v>1609</v>
      </c>
      <c r="B131" s="554" t="s">
        <v>1724</v>
      </c>
      <c r="C131" s="548"/>
      <c r="D131" s="548"/>
      <c r="E131" s="548"/>
      <c r="F131" s="548"/>
      <c r="G131" s="548"/>
      <c r="H131" s="548"/>
      <c r="I131" s="548"/>
      <c r="J131" s="548"/>
      <c r="K131" s="549" t="e">
        <f>(+K132)</f>
        <v>#DIV/0!</v>
      </c>
      <c r="L131" s="549">
        <f>(+L132)</f>
        <v>1</v>
      </c>
      <c r="M131" s="549">
        <f>(+M132)</f>
        <v>0</v>
      </c>
      <c r="N131" s="570"/>
      <c r="O131" s="570"/>
      <c r="P131" s="570"/>
      <c r="Q131" s="570"/>
      <c r="R131" s="570"/>
      <c r="S131" s="570"/>
      <c r="T131" s="570"/>
      <c r="U131" s="570"/>
      <c r="V131" s="570"/>
      <c r="W131" s="570"/>
      <c r="X131" s="548">
        <v>1</v>
      </c>
      <c r="Y131" s="548"/>
      <c r="Z131" s="549">
        <f>+(Z132*AA132)</f>
        <v>0.3</v>
      </c>
      <c r="AA131" s="549">
        <v>0.5</v>
      </c>
      <c r="AB131" s="549">
        <v>0.5</v>
      </c>
      <c r="AC131" s="549">
        <v>0.5</v>
      </c>
      <c r="AD131" s="571">
        <v>0</v>
      </c>
      <c r="AE131" s="570">
        <v>0</v>
      </c>
      <c r="AF131" s="548" t="e">
        <f>AE131/AD131</f>
        <v>#DIV/0!</v>
      </c>
      <c r="AG131" s="570">
        <v>0</v>
      </c>
      <c r="AH131" s="548" t="e">
        <f t="shared" ref="AH131" si="127">+AG131/AD131</f>
        <v>#DIV/0!</v>
      </c>
      <c r="AI131" s="886">
        <f>+AE131-AG131</f>
        <v>0</v>
      </c>
      <c r="AJ131" s="905">
        <v>0</v>
      </c>
      <c r="AK131" s="905">
        <v>0</v>
      </c>
      <c r="AL131" s="905">
        <v>0</v>
      </c>
      <c r="AM131" s="905">
        <v>0</v>
      </c>
      <c r="AN131" s="906" t="e">
        <f t="shared" si="70"/>
        <v>#DIV/0!</v>
      </c>
      <c r="AO131" s="570">
        <v>0</v>
      </c>
      <c r="AP131" s="571">
        <v>0</v>
      </c>
      <c r="AQ131" s="549" t="e">
        <f>AP131/AO131</f>
        <v>#DIV/0!</v>
      </c>
      <c r="AR131" s="550"/>
      <c r="AS131" s="551" t="s">
        <v>1488</v>
      </c>
      <c r="AT131" s="552"/>
      <c r="AU131" s="553"/>
      <c r="AV131" s="553"/>
      <c r="AW131" s="553"/>
    </row>
    <row r="132" spans="1:49" ht="39" thickBot="1" x14ac:dyDescent="0.3">
      <c r="A132" s="480" t="s">
        <v>1610</v>
      </c>
      <c r="B132" s="482" t="s">
        <v>1656</v>
      </c>
      <c r="C132" s="490">
        <v>0</v>
      </c>
      <c r="D132" s="492">
        <v>0.3</v>
      </c>
      <c r="E132" s="492">
        <v>0.7</v>
      </c>
      <c r="F132" s="482"/>
      <c r="G132" s="489">
        <v>0.3</v>
      </c>
      <c r="H132" s="492">
        <v>0</v>
      </c>
      <c r="I132" s="482"/>
      <c r="J132" s="482"/>
      <c r="K132" s="496" t="e">
        <f>IF(F132/C132&gt;=100%,100%,F132/C132)</f>
        <v>#DIV/0!</v>
      </c>
      <c r="L132" s="496">
        <f>IF(G132/D132&gt;=100%,100%,G132/D132)</f>
        <v>1</v>
      </c>
      <c r="M132" s="496">
        <f>IF(H132/E132&gt;=100%,100%,H132/E132)</f>
        <v>0</v>
      </c>
      <c r="N132" s="411"/>
      <c r="O132" s="411"/>
      <c r="P132" s="411"/>
      <c r="Q132" s="411"/>
      <c r="R132" s="411"/>
      <c r="S132" s="411"/>
      <c r="T132" s="411"/>
      <c r="U132" s="411"/>
      <c r="V132" s="411"/>
      <c r="W132" s="411"/>
      <c r="X132" s="492">
        <v>1</v>
      </c>
      <c r="Y132" s="489">
        <f>SUM(F132:H132)</f>
        <v>0.3</v>
      </c>
      <c r="Z132" s="489">
        <f t="shared" ref="Z132" si="128">IF(Y132/X132&gt;=100%,100%,Y132/X132)</f>
        <v>0.3</v>
      </c>
      <c r="AA132" s="492">
        <v>1</v>
      </c>
      <c r="AB132" s="492">
        <v>1</v>
      </c>
      <c r="AC132" s="492">
        <v>1</v>
      </c>
      <c r="AD132" s="412"/>
      <c r="AE132" s="412"/>
      <c r="AF132" s="492"/>
      <c r="AG132" s="412"/>
      <c r="AH132" s="492">
        <f t="shared" si="69"/>
        <v>0</v>
      </c>
      <c r="AI132" s="888">
        <f t="shared" si="78"/>
        <v>0</v>
      </c>
      <c r="AJ132" s="412"/>
      <c r="AK132" s="412"/>
      <c r="AL132" s="412"/>
      <c r="AM132" s="412"/>
      <c r="AN132" s="412" t="e">
        <f t="shared" si="70"/>
        <v>#DIV/0!</v>
      </c>
      <c r="AO132" s="412"/>
      <c r="AP132" s="412"/>
      <c r="AQ132" s="492"/>
      <c r="AR132" s="413"/>
      <c r="AS132" s="477"/>
      <c r="AT132" s="478"/>
      <c r="AU132" s="479"/>
      <c r="AV132" s="479"/>
      <c r="AW132" s="479"/>
    </row>
    <row r="133" spans="1:49" ht="40.5" x14ac:dyDescent="0.25">
      <c r="A133" s="561" t="s">
        <v>2026</v>
      </c>
      <c r="B133" s="562"/>
      <c r="C133" s="563"/>
      <c r="D133" s="563"/>
      <c r="E133" s="563"/>
      <c r="F133" s="563"/>
      <c r="G133" s="563"/>
      <c r="H133" s="563"/>
      <c r="I133" s="563"/>
      <c r="J133" s="563"/>
      <c r="K133" s="563">
        <f>+(K134*AA134)</f>
        <v>0.87017083333333334</v>
      </c>
      <c r="L133" s="563">
        <f>+(L134*AA134)</f>
        <v>0.88594444444444442</v>
      </c>
      <c r="M133" s="563">
        <f>+(M134*AC134)</f>
        <v>0.92727777777777776</v>
      </c>
      <c r="N133" s="882"/>
      <c r="O133" s="882"/>
      <c r="P133" s="882"/>
      <c r="Q133" s="882"/>
      <c r="R133" s="882"/>
      <c r="S133" s="882"/>
      <c r="T133" s="882"/>
      <c r="U133" s="882"/>
      <c r="V133" s="882"/>
      <c r="W133" s="882"/>
      <c r="X133" s="563">
        <v>1</v>
      </c>
      <c r="Y133" s="563"/>
      <c r="Z133" s="573">
        <f>+(Z134*AC134)</f>
        <v>0.72308693181818184</v>
      </c>
      <c r="AA133" s="572">
        <v>0.33</v>
      </c>
      <c r="AB133" s="572">
        <v>0.33</v>
      </c>
      <c r="AC133" s="572">
        <v>0.33</v>
      </c>
      <c r="AD133" s="564">
        <f>+AD134</f>
        <v>1680000000</v>
      </c>
      <c r="AE133" s="564">
        <f>+AE134</f>
        <v>1361628460</v>
      </c>
      <c r="AF133" s="565">
        <f>AE133/AD133</f>
        <v>0.81049313095238096</v>
      </c>
      <c r="AG133" s="894">
        <f t="shared" ref="AG133:AM133" si="129">+AG134</f>
        <v>1278714691</v>
      </c>
      <c r="AH133" s="565">
        <f t="shared" ref="AH133:AH135" si="130">+AG133/AD133</f>
        <v>0.76113969702380957</v>
      </c>
      <c r="AI133" s="894">
        <f t="shared" si="129"/>
        <v>82913769</v>
      </c>
      <c r="AJ133" s="894">
        <f t="shared" si="129"/>
        <v>221450623</v>
      </c>
      <c r="AK133" s="894">
        <f t="shared" si="129"/>
        <v>215584462</v>
      </c>
      <c r="AL133" s="894">
        <f t="shared" si="129"/>
        <v>520581019</v>
      </c>
      <c r="AM133" s="894">
        <f t="shared" si="129"/>
        <v>503258198</v>
      </c>
      <c r="AN133" s="889">
        <f t="shared" si="70"/>
        <v>0.96672406336812677</v>
      </c>
      <c r="AO133" s="564"/>
      <c r="AP133" s="564"/>
      <c r="AQ133" s="580"/>
      <c r="AR133" s="566"/>
      <c r="AS133" s="567"/>
      <c r="AT133" s="566"/>
      <c r="AU133" s="568"/>
      <c r="AV133" s="568"/>
      <c r="AW133" s="568"/>
    </row>
    <row r="134" spans="1:49" ht="102" x14ac:dyDescent="0.25">
      <c r="A134" s="557" t="s">
        <v>1611</v>
      </c>
      <c r="B134" s="540"/>
      <c r="C134" s="558"/>
      <c r="D134" s="558"/>
      <c r="E134" s="558"/>
      <c r="F134" s="558"/>
      <c r="G134" s="558"/>
      <c r="H134" s="558"/>
      <c r="I134" s="558"/>
      <c r="J134" s="558"/>
      <c r="K134" s="558">
        <f>+(K135*AA135)+(K141*AA141)+(K148*AA148)+(K153*AA153)</f>
        <v>0.87017083333333334</v>
      </c>
      <c r="L134" s="558">
        <f>+(L135*AA135)+(L141*AA141)+(L148*AA148)+(L153*AA153)</f>
        <v>0.88594444444444442</v>
      </c>
      <c r="M134" s="558">
        <f>+(M135*AC135)+(M141*AC141)+(M148*AC148)+(M153*AC153)</f>
        <v>0.92727777777777776</v>
      </c>
      <c r="N134" s="883"/>
      <c r="O134" s="883"/>
      <c r="P134" s="883"/>
      <c r="Q134" s="883"/>
      <c r="R134" s="883"/>
      <c r="S134" s="883"/>
      <c r="T134" s="883"/>
      <c r="U134" s="883"/>
      <c r="V134" s="883"/>
      <c r="W134" s="883"/>
      <c r="X134" s="558">
        <v>1</v>
      </c>
      <c r="Y134" s="558"/>
      <c r="Z134" s="558">
        <f>+(Z135*AA135)+(Z141*AA141)+(Z148*AA148)+(Z153*AA153)</f>
        <v>0.72308693181818184</v>
      </c>
      <c r="AA134" s="575">
        <v>1</v>
      </c>
      <c r="AB134" s="575">
        <v>1</v>
      </c>
      <c r="AC134" s="575">
        <v>1</v>
      </c>
      <c r="AD134" s="559">
        <f>SUM(AD135:AD161)</f>
        <v>1680000000</v>
      </c>
      <c r="AE134" s="559">
        <f>SUM(AE135:AE161)</f>
        <v>1361628460</v>
      </c>
      <c r="AF134" s="560">
        <f>AE134/AD134</f>
        <v>0.81049313095238096</v>
      </c>
      <c r="AG134" s="559">
        <f t="shared" ref="AG134" si="131">AG135+AG141+AG148+AG153</f>
        <v>1278714691</v>
      </c>
      <c r="AH134" s="560">
        <f t="shared" si="130"/>
        <v>0.76113969702380957</v>
      </c>
      <c r="AI134" s="559">
        <f t="shared" ref="AI134:AM134" si="132">AI135+AI141+AI148+AI153</f>
        <v>82913769</v>
      </c>
      <c r="AJ134" s="559">
        <f t="shared" si="132"/>
        <v>221450623</v>
      </c>
      <c r="AK134" s="559">
        <f t="shared" si="132"/>
        <v>215584462</v>
      </c>
      <c r="AL134" s="559">
        <f t="shared" si="132"/>
        <v>520581019</v>
      </c>
      <c r="AM134" s="559">
        <f t="shared" si="132"/>
        <v>503258198</v>
      </c>
      <c r="AN134" s="885">
        <f t="shared" si="70"/>
        <v>0.96672406336812677</v>
      </c>
      <c r="AO134" s="559">
        <f>SUM(AO135:AO161)</f>
        <v>5798382921</v>
      </c>
      <c r="AP134" s="559">
        <f>SUM(AP135:AP161)</f>
        <v>4348846317</v>
      </c>
      <c r="AQ134" s="581">
        <f>AP134/AO134</f>
        <v>0.75001019702403338</v>
      </c>
      <c r="AR134" s="544"/>
      <c r="AS134" s="545" t="s">
        <v>1490</v>
      </c>
      <c r="AT134" s="544"/>
      <c r="AU134" s="546" t="s">
        <v>1765</v>
      </c>
      <c r="AV134" s="546" t="s">
        <v>1765</v>
      </c>
      <c r="AW134" s="546" t="s">
        <v>1765</v>
      </c>
    </row>
    <row r="135" spans="1:49" ht="102" x14ac:dyDescent="0.25">
      <c r="A135" s="555" t="s">
        <v>1612</v>
      </c>
      <c r="B135" s="554" t="s">
        <v>1724</v>
      </c>
      <c r="C135" s="548"/>
      <c r="D135" s="548"/>
      <c r="E135" s="548"/>
      <c r="F135" s="548"/>
      <c r="G135" s="548"/>
      <c r="H135" s="548"/>
      <c r="I135" s="548"/>
      <c r="J135" s="548"/>
      <c r="K135" s="549">
        <f>+(K136*25%)+(K138*25%)+(K139*25%)+(K140*25%)</f>
        <v>0.8125</v>
      </c>
      <c r="L135" s="549">
        <f>+SUMPRODUCT(L137:L140,AA137:AA140)</f>
        <v>0.8</v>
      </c>
      <c r="M135" s="549">
        <f>+SUMPRODUCT(M137:M140,AC137:AC140)</f>
        <v>1</v>
      </c>
      <c r="N135" s="570"/>
      <c r="O135" s="570"/>
      <c r="P135" s="570"/>
      <c r="Q135" s="570"/>
      <c r="R135" s="570"/>
      <c r="S135" s="570"/>
      <c r="T135" s="570"/>
      <c r="U135" s="570"/>
      <c r="V135" s="570"/>
      <c r="W135" s="570"/>
      <c r="X135" s="576">
        <v>1</v>
      </c>
      <c r="Y135" s="576"/>
      <c r="Z135" s="577">
        <f>+SUMPRODUCT(Z136:Z140,AA136:AA140)</f>
        <v>0.8025000000000001</v>
      </c>
      <c r="AA135" s="577">
        <v>0.25</v>
      </c>
      <c r="AB135" s="577">
        <v>0.25</v>
      </c>
      <c r="AC135" s="577">
        <v>0.25</v>
      </c>
      <c r="AD135" s="571">
        <v>80000000</v>
      </c>
      <c r="AE135" s="570">
        <v>80000000</v>
      </c>
      <c r="AF135" s="548">
        <f>AE135/AD135</f>
        <v>1</v>
      </c>
      <c r="AG135" s="570">
        <v>14545455</v>
      </c>
      <c r="AH135" s="548">
        <f t="shared" si="130"/>
        <v>0.18181818750000001</v>
      </c>
      <c r="AI135" s="886">
        <f>+AE135-AG135</f>
        <v>65454545</v>
      </c>
      <c r="AJ135" s="886">
        <v>0</v>
      </c>
      <c r="AK135" s="886">
        <v>0</v>
      </c>
      <c r="AL135" s="886">
        <f>34135000+10646815</f>
        <v>44781815</v>
      </c>
      <c r="AM135" s="886">
        <f>27771370+10646815</f>
        <v>38418185</v>
      </c>
      <c r="AN135" s="887">
        <f t="shared" si="70"/>
        <v>0.85789700573770844</v>
      </c>
      <c r="AO135" s="570">
        <v>334135000</v>
      </c>
      <c r="AP135" s="571">
        <v>244135000</v>
      </c>
      <c r="AQ135" s="549">
        <f>AP135/AO135</f>
        <v>0.73064779206009545</v>
      </c>
      <c r="AR135" s="550"/>
      <c r="AS135" s="551" t="s">
        <v>1490</v>
      </c>
      <c r="AT135" s="552"/>
      <c r="AU135" s="553"/>
      <c r="AV135" s="553"/>
      <c r="AW135" s="553"/>
    </row>
    <row r="136" spans="1:49" ht="25.5" x14ac:dyDescent="0.25">
      <c r="A136" s="578" t="s">
        <v>2036</v>
      </c>
      <c r="B136" s="484" t="s">
        <v>1709</v>
      </c>
      <c r="C136" s="484">
        <v>1</v>
      </c>
      <c r="D136" s="484"/>
      <c r="E136" s="484"/>
      <c r="F136" s="484">
        <v>1</v>
      </c>
      <c r="G136" s="484"/>
      <c r="H136" s="484"/>
      <c r="I136" s="484"/>
      <c r="J136" s="484"/>
      <c r="K136" s="496">
        <f t="shared" ref="K136:K140" si="133">IF(F136/C136&gt;=100%,100%,F136/C136)</f>
        <v>1</v>
      </c>
      <c r="L136" s="496" t="e">
        <f t="shared" ref="L136:L140" si="134">IF(G136/D136&gt;=100%,100%,G136/D136)</f>
        <v>#DIV/0!</v>
      </c>
      <c r="M136" s="496" t="e">
        <f t="shared" ref="M136:M140" si="135">IF(H136/E136&gt;=100%,100%,H136/E136)</f>
        <v>#DIV/0!</v>
      </c>
      <c r="N136" s="884"/>
      <c r="O136" s="884"/>
      <c r="P136" s="884"/>
      <c r="Q136" s="884"/>
      <c r="R136" s="884"/>
      <c r="S136" s="884"/>
      <c r="T136" s="884"/>
      <c r="U136" s="884"/>
      <c r="V136" s="884"/>
      <c r="W136" s="884"/>
      <c r="X136" s="484">
        <v>1</v>
      </c>
      <c r="Y136" s="484">
        <f>SUM(F136:H136)</f>
        <v>1</v>
      </c>
      <c r="Z136" s="488">
        <f t="shared" ref="Z136:Z140" si="136">IF(Y136/X136&gt;=100%,100%,Y136/X136)</f>
        <v>1</v>
      </c>
      <c r="AA136" s="497">
        <v>0.2</v>
      </c>
      <c r="AB136" s="497">
        <v>0</v>
      </c>
      <c r="AC136" s="497">
        <v>0</v>
      </c>
      <c r="AD136" s="408"/>
      <c r="AE136" s="408"/>
      <c r="AF136" s="497"/>
      <c r="AG136" s="408"/>
      <c r="AH136" s="497" t="e">
        <f t="shared" si="69"/>
        <v>#DIV/0!</v>
      </c>
      <c r="AI136" s="888">
        <f t="shared" si="78"/>
        <v>0</v>
      </c>
      <c r="AJ136" s="408"/>
      <c r="AK136" s="408"/>
      <c r="AL136" s="408"/>
      <c r="AM136" s="408"/>
      <c r="AN136" s="408" t="e">
        <f t="shared" si="70"/>
        <v>#DIV/0!</v>
      </c>
      <c r="AO136" s="408"/>
      <c r="AP136" s="408"/>
      <c r="AQ136" s="497"/>
      <c r="AR136" s="409"/>
      <c r="AS136" s="475"/>
      <c r="AT136" s="474"/>
      <c r="AU136" s="476"/>
      <c r="AV136" s="476"/>
      <c r="AW136" s="476"/>
    </row>
    <row r="137" spans="1:49" ht="25.5" x14ac:dyDescent="0.25">
      <c r="A137" s="578" t="s">
        <v>2037</v>
      </c>
      <c r="B137" s="484" t="s">
        <v>1710</v>
      </c>
      <c r="C137" s="487">
        <v>0</v>
      </c>
      <c r="D137" s="488">
        <v>1</v>
      </c>
      <c r="E137" s="488">
        <v>1</v>
      </c>
      <c r="F137" s="484"/>
      <c r="G137" s="488">
        <v>1</v>
      </c>
      <c r="H137" s="488">
        <v>1</v>
      </c>
      <c r="I137" s="484"/>
      <c r="J137" s="484"/>
      <c r="K137" s="496" t="e">
        <f t="shared" si="133"/>
        <v>#DIV/0!</v>
      </c>
      <c r="L137" s="496">
        <f t="shared" si="134"/>
        <v>1</v>
      </c>
      <c r="M137" s="496">
        <f t="shared" si="135"/>
        <v>1</v>
      </c>
      <c r="N137" s="884"/>
      <c r="O137" s="884"/>
      <c r="P137" s="884"/>
      <c r="Q137" s="884"/>
      <c r="R137" s="884"/>
      <c r="S137" s="884"/>
      <c r="T137" s="884"/>
      <c r="U137" s="884"/>
      <c r="V137" s="884"/>
      <c r="W137" s="884"/>
      <c r="X137" s="488">
        <v>1</v>
      </c>
      <c r="Y137" s="488">
        <f>SUM(F137:H137)</f>
        <v>2</v>
      </c>
      <c r="Z137" s="488">
        <f t="shared" si="136"/>
        <v>1</v>
      </c>
      <c r="AA137" s="497">
        <v>0.2</v>
      </c>
      <c r="AB137" s="497">
        <v>0.25</v>
      </c>
      <c r="AC137" s="497">
        <v>0.25</v>
      </c>
      <c r="AD137" s="408"/>
      <c r="AE137" s="408"/>
      <c r="AF137" s="497"/>
      <c r="AG137" s="408"/>
      <c r="AH137" s="497">
        <f t="shared" ref="AH137:AH161" si="137">+AG137/AB137</f>
        <v>0</v>
      </c>
      <c r="AI137" s="888">
        <f t="shared" si="78"/>
        <v>0</v>
      </c>
      <c r="AJ137" s="408"/>
      <c r="AK137" s="408"/>
      <c r="AL137" s="408"/>
      <c r="AM137" s="408"/>
      <c r="AN137" s="408" t="e">
        <f t="shared" si="70"/>
        <v>#DIV/0!</v>
      </c>
      <c r="AO137" s="408"/>
      <c r="AP137" s="408"/>
      <c r="AQ137" s="497"/>
      <c r="AR137" s="409"/>
      <c r="AS137" s="475"/>
      <c r="AT137" s="474"/>
      <c r="AU137" s="476"/>
      <c r="AV137" s="476"/>
      <c r="AW137" s="476"/>
    </row>
    <row r="138" spans="1:49" ht="63.75" x14ac:dyDescent="0.25">
      <c r="A138" s="400" t="s">
        <v>1613</v>
      </c>
      <c r="B138" s="484" t="s">
        <v>1711</v>
      </c>
      <c r="C138" s="488">
        <v>1</v>
      </c>
      <c r="D138" s="488">
        <v>1</v>
      </c>
      <c r="E138" s="488">
        <v>1</v>
      </c>
      <c r="F138" s="491">
        <v>1</v>
      </c>
      <c r="G138" s="491">
        <v>1</v>
      </c>
      <c r="H138" s="488">
        <v>1</v>
      </c>
      <c r="I138" s="491"/>
      <c r="J138" s="491"/>
      <c r="K138" s="496">
        <f t="shared" si="133"/>
        <v>1</v>
      </c>
      <c r="L138" s="496">
        <f t="shared" si="134"/>
        <v>1</v>
      </c>
      <c r="M138" s="496">
        <f t="shared" si="135"/>
        <v>1</v>
      </c>
      <c r="N138" s="884"/>
      <c r="O138" s="884"/>
      <c r="P138" s="884"/>
      <c r="Q138" s="884"/>
      <c r="R138" s="884"/>
      <c r="S138" s="884"/>
      <c r="T138" s="884"/>
      <c r="U138" s="884"/>
      <c r="V138" s="884"/>
      <c r="W138" s="884"/>
      <c r="X138" s="488">
        <v>1</v>
      </c>
      <c r="Y138" s="488">
        <f>SUM(F138:H138)/4</f>
        <v>0.75</v>
      </c>
      <c r="Z138" s="488">
        <f t="shared" si="136"/>
        <v>0.75</v>
      </c>
      <c r="AA138" s="497">
        <v>0.2</v>
      </c>
      <c r="AB138" s="497">
        <v>0.25</v>
      </c>
      <c r="AC138" s="497">
        <v>0.25</v>
      </c>
      <c r="AD138" s="408"/>
      <c r="AE138" s="408"/>
      <c r="AF138" s="497"/>
      <c r="AG138" s="408"/>
      <c r="AH138" s="497">
        <f t="shared" si="137"/>
        <v>0</v>
      </c>
      <c r="AI138" s="888">
        <f t="shared" si="78"/>
        <v>0</v>
      </c>
      <c r="AJ138" s="408"/>
      <c r="AK138" s="408"/>
      <c r="AL138" s="408"/>
      <c r="AM138" s="408"/>
      <c r="AN138" s="408" t="e">
        <f t="shared" ref="AN138:AN165" si="138">+AM138/AL138</f>
        <v>#DIV/0!</v>
      </c>
      <c r="AO138" s="408"/>
      <c r="AP138" s="408"/>
      <c r="AQ138" s="497"/>
      <c r="AR138" s="409"/>
      <c r="AS138" s="475"/>
      <c r="AT138" s="474"/>
      <c r="AU138" s="476"/>
      <c r="AV138" s="476"/>
      <c r="AW138" s="476"/>
    </row>
    <row r="139" spans="1:49" ht="38.25" x14ac:dyDescent="0.25">
      <c r="A139" s="400" t="s">
        <v>1614</v>
      </c>
      <c r="B139" s="484" t="s">
        <v>1641</v>
      </c>
      <c r="C139" s="484">
        <v>1</v>
      </c>
      <c r="D139" s="484">
        <v>3</v>
      </c>
      <c r="E139" s="484">
        <v>3</v>
      </c>
      <c r="F139" s="484">
        <v>1</v>
      </c>
      <c r="G139" s="484">
        <v>3</v>
      </c>
      <c r="H139" s="484">
        <v>3</v>
      </c>
      <c r="I139" s="484"/>
      <c r="J139" s="484"/>
      <c r="K139" s="496">
        <f t="shared" si="133"/>
        <v>1</v>
      </c>
      <c r="L139" s="496">
        <f t="shared" si="134"/>
        <v>1</v>
      </c>
      <c r="M139" s="496">
        <f t="shared" si="135"/>
        <v>1</v>
      </c>
      <c r="N139" s="884"/>
      <c r="O139" s="884"/>
      <c r="P139" s="884"/>
      <c r="Q139" s="884"/>
      <c r="R139" s="884"/>
      <c r="S139" s="884"/>
      <c r="T139" s="884"/>
      <c r="U139" s="884"/>
      <c r="V139" s="884"/>
      <c r="W139" s="884"/>
      <c r="X139" s="484">
        <v>10</v>
      </c>
      <c r="Y139" s="484">
        <f>SUM(F139:H139)</f>
        <v>7</v>
      </c>
      <c r="Z139" s="488">
        <f t="shared" si="136"/>
        <v>0.7</v>
      </c>
      <c r="AA139" s="497">
        <v>0.2</v>
      </c>
      <c r="AB139" s="497">
        <v>0.25</v>
      </c>
      <c r="AC139" s="497">
        <v>0.25</v>
      </c>
      <c r="AD139" s="408"/>
      <c r="AE139" s="408"/>
      <c r="AF139" s="497"/>
      <c r="AG139" s="408"/>
      <c r="AH139" s="497">
        <f t="shared" si="137"/>
        <v>0</v>
      </c>
      <c r="AI139" s="888">
        <f t="shared" si="78"/>
        <v>0</v>
      </c>
      <c r="AJ139" s="408"/>
      <c r="AK139" s="408"/>
      <c r="AL139" s="408"/>
      <c r="AM139" s="408"/>
      <c r="AN139" s="408" t="e">
        <f t="shared" si="138"/>
        <v>#DIV/0!</v>
      </c>
      <c r="AO139" s="408"/>
      <c r="AP139" s="408"/>
      <c r="AQ139" s="497"/>
      <c r="AR139" s="409"/>
      <c r="AS139" s="475"/>
      <c r="AT139" s="474"/>
      <c r="AU139" s="476"/>
      <c r="AV139" s="476"/>
      <c r="AW139" s="476"/>
    </row>
    <row r="140" spans="1:49" ht="63.75" x14ac:dyDescent="0.25">
      <c r="A140" s="400" t="s">
        <v>1615</v>
      </c>
      <c r="B140" s="484" t="s">
        <v>1712</v>
      </c>
      <c r="C140" s="488">
        <v>1</v>
      </c>
      <c r="D140" s="488">
        <v>1</v>
      </c>
      <c r="E140" s="488">
        <v>1</v>
      </c>
      <c r="F140" s="488">
        <v>0.25</v>
      </c>
      <c r="G140" s="488">
        <v>1</v>
      </c>
      <c r="H140" s="488">
        <v>1</v>
      </c>
      <c r="I140" s="488"/>
      <c r="J140" s="488"/>
      <c r="K140" s="496">
        <f t="shared" si="133"/>
        <v>0.25</v>
      </c>
      <c r="L140" s="496">
        <f t="shared" si="134"/>
        <v>1</v>
      </c>
      <c r="M140" s="496">
        <f t="shared" si="135"/>
        <v>1</v>
      </c>
      <c r="N140" s="884"/>
      <c r="O140" s="884"/>
      <c r="P140" s="884"/>
      <c r="Q140" s="884"/>
      <c r="R140" s="884"/>
      <c r="S140" s="884"/>
      <c r="T140" s="884"/>
      <c r="U140" s="884"/>
      <c r="V140" s="884"/>
      <c r="W140" s="884"/>
      <c r="X140" s="488">
        <v>1</v>
      </c>
      <c r="Y140" s="488">
        <f>SUM(F140:H140)/4</f>
        <v>0.5625</v>
      </c>
      <c r="Z140" s="488">
        <f t="shared" si="136"/>
        <v>0.5625</v>
      </c>
      <c r="AA140" s="497">
        <v>0.2</v>
      </c>
      <c r="AB140" s="497">
        <v>0.25</v>
      </c>
      <c r="AC140" s="497">
        <v>0.25</v>
      </c>
      <c r="AD140" s="408"/>
      <c r="AE140" s="408"/>
      <c r="AF140" s="497"/>
      <c r="AG140" s="408"/>
      <c r="AH140" s="497">
        <f t="shared" si="137"/>
        <v>0</v>
      </c>
      <c r="AI140" s="888">
        <f t="shared" ref="AI140:AI163" si="139">+AD140-AG140</f>
        <v>0</v>
      </c>
      <c r="AJ140" s="408"/>
      <c r="AK140" s="408"/>
      <c r="AL140" s="497"/>
      <c r="AM140" s="408"/>
      <c r="AN140" s="408" t="e">
        <f t="shared" si="138"/>
        <v>#DIV/0!</v>
      </c>
      <c r="AO140" s="408"/>
      <c r="AP140" s="408"/>
      <c r="AQ140" s="497"/>
      <c r="AR140" s="409"/>
      <c r="AS140" s="475"/>
      <c r="AT140" s="474"/>
      <c r="AU140" s="476"/>
      <c r="AV140" s="476"/>
      <c r="AW140" s="476"/>
    </row>
    <row r="141" spans="1:49" ht="102" x14ac:dyDescent="0.25">
      <c r="A141" s="555" t="s">
        <v>1616</v>
      </c>
      <c r="B141" s="554" t="s">
        <v>1724</v>
      </c>
      <c r="C141" s="548"/>
      <c r="D141" s="548"/>
      <c r="E141" s="548"/>
      <c r="F141" s="548"/>
      <c r="G141" s="548"/>
      <c r="H141" s="548"/>
      <c r="I141" s="548"/>
      <c r="J141" s="548"/>
      <c r="K141" s="549">
        <f>+(K142*25%)+(K145*25%)+(K146*25%)+(K147*25%)</f>
        <v>0.90008333333333335</v>
      </c>
      <c r="L141" s="549">
        <f>+SUMPRODUCT(L142:L147,AB142:AB147)</f>
        <v>0.92001777777777782</v>
      </c>
      <c r="M141" s="549">
        <f>+(M142*AC142)+(M144*AC144)+(M145*AC145)+(M146*AC146)+(M147*AC147)</f>
        <v>0.87471111111111122</v>
      </c>
      <c r="N141" s="570"/>
      <c r="O141" s="570"/>
      <c r="P141" s="570"/>
      <c r="Q141" s="570"/>
      <c r="R141" s="570"/>
      <c r="S141" s="570"/>
      <c r="T141" s="570"/>
      <c r="U141" s="570"/>
      <c r="V141" s="570"/>
      <c r="W141" s="570"/>
      <c r="X141" s="548">
        <v>1</v>
      </c>
      <c r="Y141" s="548"/>
      <c r="Z141" s="549">
        <f>+SUMPRODUCT(Z142:Z147,AA142:AA147)</f>
        <v>0.81645999999999996</v>
      </c>
      <c r="AA141" s="549">
        <v>0.25</v>
      </c>
      <c r="AB141" s="549">
        <v>0.25</v>
      </c>
      <c r="AC141" s="549">
        <v>0.25</v>
      </c>
      <c r="AD141" s="571">
        <v>525000000</v>
      </c>
      <c r="AE141" s="570">
        <v>254352381</v>
      </c>
      <c r="AF141" s="548">
        <f>AE141/AD141</f>
        <v>0.48448072571428569</v>
      </c>
      <c r="AG141" s="570">
        <v>243393157</v>
      </c>
      <c r="AH141" s="548">
        <f t="shared" ref="AH141" si="140">+AG141/AD141</f>
        <v>0.46360601333333334</v>
      </c>
      <c r="AI141" s="886">
        <f>+AE141-AG141</f>
        <v>10959224</v>
      </c>
      <c r="AJ141" s="570">
        <v>140850623</v>
      </c>
      <c r="AK141" s="570">
        <v>140641663</v>
      </c>
      <c r="AL141" s="570">
        <f>28126349+417172855</f>
        <v>445299204</v>
      </c>
      <c r="AM141" s="570">
        <f>28126349+406213664</f>
        <v>434340013</v>
      </c>
      <c r="AN141" s="906">
        <f t="shared" si="138"/>
        <v>0.97538915205426691</v>
      </c>
      <c r="AO141" s="570">
        <v>1791523448</v>
      </c>
      <c r="AP141" s="571">
        <v>1414964664</v>
      </c>
      <c r="AQ141" s="549">
        <f>AP141/AO141</f>
        <v>0.78981085376226678</v>
      </c>
      <c r="AR141" s="550"/>
      <c r="AS141" s="551" t="s">
        <v>1490</v>
      </c>
      <c r="AT141" s="552"/>
      <c r="AU141" s="553"/>
      <c r="AV141" s="553"/>
      <c r="AW141" s="553"/>
    </row>
    <row r="142" spans="1:49" ht="51" x14ac:dyDescent="0.25">
      <c r="A142" s="400" t="s">
        <v>1617</v>
      </c>
      <c r="B142" s="484" t="s">
        <v>1713</v>
      </c>
      <c r="C142" s="488">
        <v>1</v>
      </c>
      <c r="D142" s="488">
        <v>1</v>
      </c>
      <c r="E142" s="488">
        <v>1</v>
      </c>
      <c r="F142" s="491">
        <v>1</v>
      </c>
      <c r="G142" s="491">
        <v>1</v>
      </c>
      <c r="H142" s="491">
        <v>1</v>
      </c>
      <c r="I142" s="491"/>
      <c r="J142" s="491"/>
      <c r="K142" s="496">
        <f t="shared" ref="K142:K147" si="141">IF(F142/C142&gt;=100%,100%,F142/C142)</f>
        <v>1</v>
      </c>
      <c r="L142" s="496">
        <f t="shared" ref="L142:L147" si="142">IF(G142/D142&gt;=100%,100%,G142/D142)</f>
        <v>1</v>
      </c>
      <c r="M142" s="496">
        <f t="shared" ref="M142:M147" si="143">IF(H142/E142&gt;=100%,100%,H142/E142)</f>
        <v>1</v>
      </c>
      <c r="N142" s="884"/>
      <c r="O142" s="884"/>
      <c r="P142" s="884"/>
      <c r="Q142" s="884"/>
      <c r="R142" s="884"/>
      <c r="S142" s="884"/>
      <c r="T142" s="884"/>
      <c r="U142" s="884"/>
      <c r="V142" s="884"/>
      <c r="W142" s="884"/>
      <c r="X142" s="488">
        <v>1</v>
      </c>
      <c r="Y142" s="488">
        <f>AVERAGE(F142:H142)</f>
        <v>1</v>
      </c>
      <c r="Z142" s="488">
        <f t="shared" ref="Z142:Z147" si="144">IF(Y142/X142&gt;=100%,100%,Y142/X142)</f>
        <v>1</v>
      </c>
      <c r="AA142" s="497">
        <v>0.17</v>
      </c>
      <c r="AB142" s="497">
        <v>0.17</v>
      </c>
      <c r="AC142" s="497">
        <v>0.2</v>
      </c>
      <c r="AD142" s="408"/>
      <c r="AE142" s="408"/>
      <c r="AF142" s="497"/>
      <c r="AG142" s="408"/>
      <c r="AH142" s="497">
        <f t="shared" si="137"/>
        <v>0</v>
      </c>
      <c r="AI142" s="888">
        <f t="shared" si="139"/>
        <v>0</v>
      </c>
      <c r="AJ142" s="408"/>
      <c r="AK142" s="408"/>
      <c r="AL142" s="408"/>
      <c r="AM142" s="408"/>
      <c r="AN142" s="408" t="e">
        <f t="shared" si="138"/>
        <v>#DIV/0!</v>
      </c>
      <c r="AO142" s="408"/>
      <c r="AP142" s="408"/>
      <c r="AQ142" s="497"/>
      <c r="AR142" s="409"/>
      <c r="AS142" s="475"/>
      <c r="AT142" s="474"/>
      <c r="AU142" s="476"/>
      <c r="AV142" s="476"/>
      <c r="AW142" s="476"/>
    </row>
    <row r="143" spans="1:49" ht="38.25" x14ac:dyDescent="0.25">
      <c r="A143" s="400" t="s">
        <v>1618</v>
      </c>
      <c r="B143" s="484" t="s">
        <v>1714</v>
      </c>
      <c r="C143" s="487">
        <v>0</v>
      </c>
      <c r="D143" s="484">
        <v>1</v>
      </c>
      <c r="E143" s="484"/>
      <c r="F143" s="484"/>
      <c r="G143" s="484">
        <v>1</v>
      </c>
      <c r="H143" s="484"/>
      <c r="I143" s="484"/>
      <c r="J143" s="484"/>
      <c r="K143" s="496" t="e">
        <f t="shared" si="141"/>
        <v>#DIV/0!</v>
      </c>
      <c r="L143" s="496">
        <f t="shared" si="142"/>
        <v>1</v>
      </c>
      <c r="M143" s="496" t="e">
        <f t="shared" si="143"/>
        <v>#DIV/0!</v>
      </c>
      <c r="N143" s="884"/>
      <c r="O143" s="884"/>
      <c r="P143" s="884"/>
      <c r="Q143" s="884"/>
      <c r="R143" s="884"/>
      <c r="S143" s="884"/>
      <c r="T143" s="884"/>
      <c r="U143" s="884"/>
      <c r="V143" s="884"/>
      <c r="W143" s="884"/>
      <c r="X143" s="484">
        <v>1</v>
      </c>
      <c r="Y143" s="484">
        <f>SUM(F143:H143)</f>
        <v>1</v>
      </c>
      <c r="Z143" s="488">
        <f t="shared" si="144"/>
        <v>1</v>
      </c>
      <c r="AA143" s="497">
        <v>0.17</v>
      </c>
      <c r="AB143" s="497">
        <v>0.17</v>
      </c>
      <c r="AC143" s="497">
        <v>0</v>
      </c>
      <c r="AD143" s="408"/>
      <c r="AE143" s="408"/>
      <c r="AF143" s="497"/>
      <c r="AG143" s="408"/>
      <c r="AH143" s="497">
        <f t="shared" si="137"/>
        <v>0</v>
      </c>
      <c r="AI143" s="888">
        <f t="shared" si="139"/>
        <v>0</v>
      </c>
      <c r="AJ143" s="408"/>
      <c r="AK143" s="408"/>
      <c r="AL143" s="408"/>
      <c r="AM143" s="408"/>
      <c r="AN143" s="408" t="e">
        <f t="shared" si="138"/>
        <v>#DIV/0!</v>
      </c>
      <c r="AO143" s="408"/>
      <c r="AP143" s="408"/>
      <c r="AQ143" s="497"/>
      <c r="AR143" s="409"/>
      <c r="AS143" s="475"/>
      <c r="AT143" s="474"/>
      <c r="AU143" s="476"/>
      <c r="AV143" s="476"/>
      <c r="AW143" s="476"/>
    </row>
    <row r="144" spans="1:49" ht="63.75" x14ac:dyDescent="0.25">
      <c r="A144" s="400" t="s">
        <v>1619</v>
      </c>
      <c r="B144" s="484" t="s">
        <v>2039</v>
      </c>
      <c r="C144" s="487">
        <v>0</v>
      </c>
      <c r="D144" s="488">
        <v>0.6</v>
      </c>
      <c r="E144" s="488">
        <v>0.4</v>
      </c>
      <c r="F144" s="484"/>
      <c r="G144" s="488">
        <v>0.6</v>
      </c>
      <c r="H144" s="491">
        <v>0.4</v>
      </c>
      <c r="I144" s="484"/>
      <c r="J144" s="484"/>
      <c r="K144" s="496" t="e">
        <f t="shared" si="141"/>
        <v>#DIV/0!</v>
      </c>
      <c r="L144" s="496">
        <f t="shared" si="142"/>
        <v>1</v>
      </c>
      <c r="M144" s="496">
        <f t="shared" si="143"/>
        <v>1</v>
      </c>
      <c r="N144" s="884"/>
      <c r="O144" s="884"/>
      <c r="P144" s="884"/>
      <c r="Q144" s="884"/>
      <c r="R144" s="884"/>
      <c r="S144" s="884"/>
      <c r="T144" s="884"/>
      <c r="U144" s="884"/>
      <c r="V144" s="884"/>
      <c r="W144" s="884"/>
      <c r="X144" s="488">
        <v>1</v>
      </c>
      <c r="Y144" s="488">
        <f>SUM(F144:H144)</f>
        <v>1</v>
      </c>
      <c r="Z144" s="488">
        <f t="shared" si="144"/>
        <v>1</v>
      </c>
      <c r="AA144" s="497">
        <v>0.17</v>
      </c>
      <c r="AB144" s="497">
        <v>0.17</v>
      </c>
      <c r="AC144" s="497">
        <v>0.2</v>
      </c>
      <c r="AD144" s="408"/>
      <c r="AE144" s="408"/>
      <c r="AF144" s="497"/>
      <c r="AG144" s="408"/>
      <c r="AH144" s="497">
        <f t="shared" si="137"/>
        <v>0</v>
      </c>
      <c r="AI144" s="888">
        <f t="shared" si="139"/>
        <v>0</v>
      </c>
      <c r="AJ144" s="408"/>
      <c r="AK144" s="408"/>
      <c r="AL144" s="408"/>
      <c r="AM144" s="408"/>
      <c r="AN144" s="408" t="e">
        <f t="shared" si="138"/>
        <v>#DIV/0!</v>
      </c>
      <c r="AO144" s="408"/>
      <c r="AP144" s="408"/>
      <c r="AQ144" s="497"/>
      <c r="AR144" s="409"/>
      <c r="AS144" s="475"/>
      <c r="AT144" s="474"/>
      <c r="AU144" s="476"/>
      <c r="AV144" s="476"/>
      <c r="AW144" s="476"/>
    </row>
    <row r="145" spans="1:49" ht="38.25" x14ac:dyDescent="0.25">
      <c r="A145" s="400" t="s">
        <v>1620</v>
      </c>
      <c r="B145" s="484" t="s">
        <v>1715</v>
      </c>
      <c r="C145" s="488">
        <v>1</v>
      </c>
      <c r="D145" s="488">
        <v>1</v>
      </c>
      <c r="E145" s="488">
        <v>1</v>
      </c>
      <c r="F145" s="488">
        <v>0.96</v>
      </c>
      <c r="G145" s="488">
        <v>0.95</v>
      </c>
      <c r="H145" s="488">
        <v>0.97</v>
      </c>
      <c r="I145" s="488"/>
      <c r="J145" s="488"/>
      <c r="K145" s="496">
        <f t="shared" si="141"/>
        <v>0.96</v>
      </c>
      <c r="L145" s="496">
        <f t="shared" si="142"/>
        <v>0.95</v>
      </c>
      <c r="M145" s="496">
        <f t="shared" si="143"/>
        <v>0.97</v>
      </c>
      <c r="N145" s="884"/>
      <c r="O145" s="884"/>
      <c r="P145" s="884"/>
      <c r="Q145" s="884"/>
      <c r="R145" s="884"/>
      <c r="S145" s="884"/>
      <c r="T145" s="884"/>
      <c r="U145" s="884"/>
      <c r="V145" s="884"/>
      <c r="W145" s="884"/>
      <c r="X145" s="488">
        <v>1</v>
      </c>
      <c r="Y145" s="488">
        <f>SUM(F145:H145)/4</f>
        <v>0.72</v>
      </c>
      <c r="Z145" s="488">
        <f t="shared" si="144"/>
        <v>0.72</v>
      </c>
      <c r="AA145" s="497">
        <v>0.16</v>
      </c>
      <c r="AB145" s="497">
        <v>0.16</v>
      </c>
      <c r="AC145" s="497">
        <v>0.2</v>
      </c>
      <c r="AD145" s="408"/>
      <c r="AE145" s="408"/>
      <c r="AF145" s="497"/>
      <c r="AG145" s="408"/>
      <c r="AH145" s="497">
        <f t="shared" si="137"/>
        <v>0</v>
      </c>
      <c r="AI145" s="888">
        <f t="shared" si="139"/>
        <v>0</v>
      </c>
      <c r="AJ145" s="408"/>
      <c r="AK145" s="408"/>
      <c r="AL145" s="408"/>
      <c r="AM145" s="408"/>
      <c r="AN145" s="408" t="e">
        <f t="shared" si="138"/>
        <v>#DIV/0!</v>
      </c>
      <c r="AO145" s="408"/>
      <c r="AP145" s="408"/>
      <c r="AQ145" s="497"/>
      <c r="AR145" s="409"/>
      <c r="AS145" s="475"/>
      <c r="AT145" s="474"/>
      <c r="AU145" s="476"/>
      <c r="AV145" s="476"/>
      <c r="AW145" s="476"/>
    </row>
    <row r="146" spans="1:49" ht="140.25" x14ac:dyDescent="0.25">
      <c r="A146" s="400" t="s">
        <v>1621</v>
      </c>
      <c r="B146" s="484" t="s">
        <v>1716</v>
      </c>
      <c r="C146" s="488">
        <v>0.9</v>
      </c>
      <c r="D146" s="488">
        <v>0.9</v>
      </c>
      <c r="E146" s="488">
        <v>0.9</v>
      </c>
      <c r="F146" s="521">
        <v>0.57630000000000003</v>
      </c>
      <c r="G146" s="521">
        <v>0.49509999999999998</v>
      </c>
      <c r="H146" s="521">
        <v>0.36320000000000002</v>
      </c>
      <c r="I146" s="521"/>
      <c r="J146" s="521"/>
      <c r="K146" s="496">
        <f t="shared" si="141"/>
        <v>0.64033333333333331</v>
      </c>
      <c r="L146" s="496">
        <f t="shared" si="142"/>
        <v>0.55011111111111111</v>
      </c>
      <c r="M146" s="496">
        <f t="shared" si="143"/>
        <v>0.40355555555555556</v>
      </c>
      <c r="N146" s="884" t="s">
        <v>2577</v>
      </c>
      <c r="O146" s="884"/>
      <c r="P146" s="884"/>
      <c r="Q146" s="884"/>
      <c r="R146" s="884"/>
      <c r="S146" s="884"/>
      <c r="T146" s="884"/>
      <c r="U146" s="884"/>
      <c r="V146" s="884"/>
      <c r="W146" s="884"/>
      <c r="X146" s="488">
        <v>0.9</v>
      </c>
      <c r="Y146" s="488">
        <f>SUM(F146:H146)/4</f>
        <v>0.35865000000000002</v>
      </c>
      <c r="Z146" s="488">
        <f t="shared" si="144"/>
        <v>0.39850000000000002</v>
      </c>
      <c r="AA146" s="497">
        <v>0.16</v>
      </c>
      <c r="AB146" s="497">
        <v>0.16</v>
      </c>
      <c r="AC146" s="497">
        <v>0.2</v>
      </c>
      <c r="AD146" s="408"/>
      <c r="AE146" s="408"/>
      <c r="AF146" s="497"/>
      <c r="AG146" s="408"/>
      <c r="AH146" s="497">
        <f t="shared" si="137"/>
        <v>0</v>
      </c>
      <c r="AI146" s="888">
        <f t="shared" si="139"/>
        <v>0</v>
      </c>
      <c r="AJ146" s="408"/>
      <c r="AK146" s="408"/>
      <c r="AL146" s="408"/>
      <c r="AM146" s="408"/>
      <c r="AN146" s="408" t="e">
        <f t="shared" si="138"/>
        <v>#DIV/0!</v>
      </c>
      <c r="AO146" s="408"/>
      <c r="AP146" s="408"/>
      <c r="AQ146" s="497"/>
      <c r="AR146" s="409"/>
      <c r="AS146" s="475"/>
      <c r="AT146" s="474"/>
      <c r="AU146" s="476"/>
      <c r="AV146" s="476"/>
      <c r="AW146" s="476"/>
    </row>
    <row r="147" spans="1:49" ht="51" x14ac:dyDescent="0.25">
      <c r="A147" s="404" t="s">
        <v>1622</v>
      </c>
      <c r="B147" s="484" t="s">
        <v>1717</v>
      </c>
      <c r="C147" s="488">
        <v>1</v>
      </c>
      <c r="D147" s="488">
        <v>1</v>
      </c>
      <c r="E147" s="488">
        <v>1</v>
      </c>
      <c r="F147" s="488">
        <v>1</v>
      </c>
      <c r="G147" s="488">
        <v>1</v>
      </c>
      <c r="H147" s="488">
        <v>1</v>
      </c>
      <c r="I147" s="488"/>
      <c r="J147" s="488"/>
      <c r="K147" s="496">
        <f t="shared" si="141"/>
        <v>1</v>
      </c>
      <c r="L147" s="496">
        <f t="shared" si="142"/>
        <v>1</v>
      </c>
      <c r="M147" s="496">
        <f t="shared" si="143"/>
        <v>1</v>
      </c>
      <c r="N147" s="884"/>
      <c r="O147" s="884"/>
      <c r="P147" s="884"/>
      <c r="Q147" s="884"/>
      <c r="R147" s="884"/>
      <c r="S147" s="884"/>
      <c r="T147" s="884"/>
      <c r="U147" s="884"/>
      <c r="V147" s="884"/>
      <c r="W147" s="884"/>
      <c r="X147" s="488">
        <v>1</v>
      </c>
      <c r="Y147" s="488">
        <f>SUM(F147:H147)/4</f>
        <v>0.75</v>
      </c>
      <c r="Z147" s="488">
        <f t="shared" si="144"/>
        <v>0.75</v>
      </c>
      <c r="AA147" s="497">
        <v>0.17</v>
      </c>
      <c r="AB147" s="497">
        <v>0.17</v>
      </c>
      <c r="AC147" s="497">
        <v>0.2</v>
      </c>
      <c r="AD147" s="408"/>
      <c r="AE147" s="408"/>
      <c r="AF147" s="497"/>
      <c r="AG147" s="408"/>
      <c r="AH147" s="497">
        <f t="shared" si="137"/>
        <v>0</v>
      </c>
      <c r="AI147" s="888">
        <f t="shared" si="139"/>
        <v>0</v>
      </c>
      <c r="AJ147" s="408"/>
      <c r="AK147" s="408"/>
      <c r="AL147" s="408"/>
      <c r="AM147" s="408"/>
      <c r="AN147" s="408" t="e">
        <f t="shared" si="138"/>
        <v>#DIV/0!</v>
      </c>
      <c r="AO147" s="408"/>
      <c r="AP147" s="408"/>
      <c r="AQ147" s="497"/>
      <c r="AR147" s="409"/>
      <c r="AS147" s="475"/>
      <c r="AT147" s="474"/>
      <c r="AU147" s="476"/>
      <c r="AV147" s="476"/>
      <c r="AW147" s="476"/>
    </row>
    <row r="148" spans="1:49" ht="102" x14ac:dyDescent="0.25">
      <c r="A148" s="555" t="s">
        <v>1623</v>
      </c>
      <c r="B148" s="554" t="s">
        <v>1724</v>
      </c>
      <c r="C148" s="548"/>
      <c r="D148" s="548"/>
      <c r="E148" s="548"/>
      <c r="F148" s="548"/>
      <c r="G148" s="548"/>
      <c r="H148" s="548"/>
      <c r="I148" s="548"/>
      <c r="J148" s="548"/>
      <c r="K148" s="549">
        <f>+SUMPRODUCT(K149:K152,AA149:AA152)</f>
        <v>1</v>
      </c>
      <c r="L148" s="549">
        <f>+SUMPRODUCT(L149:L152,AB149:AB152)</f>
        <v>1</v>
      </c>
      <c r="M148" s="549">
        <f>+SUMPRODUCT(M149:M152,AC149:AC152)</f>
        <v>1</v>
      </c>
      <c r="N148" s="570"/>
      <c r="O148" s="570"/>
      <c r="P148" s="570"/>
      <c r="Q148" s="570"/>
      <c r="R148" s="570"/>
      <c r="S148" s="570"/>
      <c r="T148" s="570"/>
      <c r="U148" s="570"/>
      <c r="V148" s="570"/>
      <c r="W148" s="570"/>
      <c r="X148" s="548">
        <v>1</v>
      </c>
      <c r="Y148" s="548"/>
      <c r="Z148" s="549">
        <f>+SUMPRODUCT(Z149:Z152,AA149:AA152)</f>
        <v>0.77102272727272725</v>
      </c>
      <c r="AA148" s="549">
        <v>0.25</v>
      </c>
      <c r="AB148" s="549">
        <v>0.25</v>
      </c>
      <c r="AC148" s="549">
        <v>0.25</v>
      </c>
      <c r="AD148" s="571">
        <v>935000000</v>
      </c>
      <c r="AE148" s="570">
        <v>906277079</v>
      </c>
      <c r="AF148" s="548">
        <f>AE148/AD148</f>
        <v>0.96928029839572194</v>
      </c>
      <c r="AG148" s="570">
        <v>899777079</v>
      </c>
      <c r="AH148" s="548">
        <f t="shared" ref="AH148" si="145">+AG148/AD148</f>
        <v>0.96232842673796792</v>
      </c>
      <c r="AI148" s="886">
        <f>+AE148-AG148</f>
        <v>6500000</v>
      </c>
      <c r="AJ148" s="905">
        <v>80600000</v>
      </c>
      <c r="AK148" s="905">
        <v>74942799</v>
      </c>
      <c r="AL148" s="905">
        <v>30500000</v>
      </c>
      <c r="AM148" s="905">
        <v>30500000</v>
      </c>
      <c r="AN148" s="906">
        <f t="shared" si="138"/>
        <v>1</v>
      </c>
      <c r="AO148" s="570">
        <v>3078724473</v>
      </c>
      <c r="AP148" s="571">
        <v>2325836482</v>
      </c>
      <c r="AQ148" s="549">
        <f>AP148/AO148</f>
        <v>0.75545457295619456</v>
      </c>
      <c r="AR148" s="550"/>
      <c r="AS148" s="551" t="s">
        <v>1490</v>
      </c>
      <c r="AT148" s="552"/>
      <c r="AU148" s="553"/>
      <c r="AV148" s="553"/>
      <c r="AW148" s="553"/>
    </row>
    <row r="149" spans="1:49" ht="89.25" x14ac:dyDescent="0.25">
      <c r="A149" s="400" t="s">
        <v>1624</v>
      </c>
      <c r="B149" s="484" t="s">
        <v>1719</v>
      </c>
      <c r="C149" s="488">
        <v>1</v>
      </c>
      <c r="D149" s="488">
        <v>1</v>
      </c>
      <c r="E149" s="488">
        <v>1</v>
      </c>
      <c r="F149" s="488">
        <v>1</v>
      </c>
      <c r="G149" s="488">
        <v>1</v>
      </c>
      <c r="H149" s="488">
        <v>1</v>
      </c>
      <c r="I149" s="488"/>
      <c r="J149" s="488"/>
      <c r="K149" s="496">
        <f t="shared" ref="K149:K152" si="146">IF(F149/C149&gt;=100%,100%,F149/C149)</f>
        <v>1</v>
      </c>
      <c r="L149" s="496">
        <f t="shared" ref="L149:L152" si="147">IF(G149/D149&gt;=100%,100%,G149/D149)</f>
        <v>1</v>
      </c>
      <c r="M149" s="496">
        <f t="shared" ref="M149:M152" si="148">IF(H149/E149&gt;=100%,100%,H149/E149)</f>
        <v>1</v>
      </c>
      <c r="N149" s="884"/>
      <c r="O149" s="884"/>
      <c r="P149" s="884"/>
      <c r="Q149" s="884"/>
      <c r="R149" s="884"/>
      <c r="S149" s="884"/>
      <c r="T149" s="884"/>
      <c r="U149" s="884"/>
      <c r="V149" s="884"/>
      <c r="W149" s="884"/>
      <c r="X149" s="488">
        <v>1</v>
      </c>
      <c r="Y149" s="488">
        <f>SUM(F149:H149)/4</f>
        <v>0.75</v>
      </c>
      <c r="Z149" s="488">
        <f t="shared" ref="Z149:Z152" si="149">IF(Y149/X149&gt;=100%,100%,Y149/X149)</f>
        <v>0.75</v>
      </c>
      <c r="AA149" s="497">
        <v>0.25</v>
      </c>
      <c r="AB149" s="497">
        <v>0.25</v>
      </c>
      <c r="AC149" s="497">
        <v>0.25</v>
      </c>
      <c r="AD149" s="408"/>
      <c r="AE149" s="408"/>
      <c r="AF149" s="497"/>
      <c r="AG149" s="408"/>
      <c r="AH149" s="497">
        <f t="shared" si="137"/>
        <v>0</v>
      </c>
      <c r="AI149" s="888">
        <f t="shared" si="139"/>
        <v>0</v>
      </c>
      <c r="AJ149" s="408"/>
      <c r="AK149" s="408"/>
      <c r="AL149" s="408"/>
      <c r="AM149" s="408"/>
      <c r="AN149" s="408" t="e">
        <f t="shared" si="138"/>
        <v>#DIV/0!</v>
      </c>
      <c r="AO149" s="408"/>
      <c r="AP149" s="408"/>
      <c r="AQ149" s="497"/>
      <c r="AR149" s="409"/>
      <c r="AS149" s="475"/>
      <c r="AT149" s="474"/>
      <c r="AU149" s="476"/>
      <c r="AV149" s="476"/>
      <c r="AW149" s="476"/>
    </row>
    <row r="150" spans="1:49" ht="38.25" x14ac:dyDescent="0.25">
      <c r="A150" s="400" t="s">
        <v>1625</v>
      </c>
      <c r="B150" s="484" t="s">
        <v>1641</v>
      </c>
      <c r="C150" s="484">
        <v>5</v>
      </c>
      <c r="D150" s="484">
        <v>5</v>
      </c>
      <c r="E150" s="484">
        <v>5</v>
      </c>
      <c r="F150" s="484">
        <v>5</v>
      </c>
      <c r="G150" s="484">
        <v>5</v>
      </c>
      <c r="H150" s="484">
        <v>6</v>
      </c>
      <c r="I150" s="484"/>
      <c r="J150" s="484"/>
      <c r="K150" s="496">
        <f t="shared" si="146"/>
        <v>1</v>
      </c>
      <c r="L150" s="496">
        <f t="shared" si="147"/>
        <v>1</v>
      </c>
      <c r="M150" s="496">
        <f t="shared" si="148"/>
        <v>1</v>
      </c>
      <c r="N150" s="884"/>
      <c r="O150" s="884"/>
      <c r="P150" s="884"/>
      <c r="Q150" s="884"/>
      <c r="R150" s="884"/>
      <c r="S150" s="884"/>
      <c r="T150" s="884"/>
      <c r="U150" s="884"/>
      <c r="V150" s="884"/>
      <c r="W150" s="884"/>
      <c r="X150" s="484">
        <v>20</v>
      </c>
      <c r="Y150" s="484">
        <f>SUM(F150:H150)</f>
        <v>16</v>
      </c>
      <c r="Z150" s="488">
        <f t="shared" si="149"/>
        <v>0.8</v>
      </c>
      <c r="AA150" s="497">
        <v>0.25</v>
      </c>
      <c r="AB150" s="497">
        <v>0.25</v>
      </c>
      <c r="AC150" s="497">
        <v>0.25</v>
      </c>
      <c r="AD150" s="408"/>
      <c r="AE150" s="408"/>
      <c r="AF150" s="497"/>
      <c r="AG150" s="408"/>
      <c r="AH150" s="497">
        <f t="shared" si="137"/>
        <v>0</v>
      </c>
      <c r="AI150" s="888">
        <f t="shared" si="139"/>
        <v>0</v>
      </c>
      <c r="AJ150" s="408"/>
      <c r="AK150" s="408"/>
      <c r="AL150" s="408"/>
      <c r="AM150" s="408"/>
      <c r="AN150" s="408" t="e">
        <f t="shared" si="138"/>
        <v>#DIV/0!</v>
      </c>
      <c r="AO150" s="408"/>
      <c r="AP150" s="408"/>
      <c r="AQ150" s="497"/>
      <c r="AR150" s="409"/>
      <c r="AS150" s="475"/>
      <c r="AT150" s="474"/>
      <c r="AU150" s="476"/>
      <c r="AV150" s="476"/>
      <c r="AW150" s="476"/>
    </row>
    <row r="151" spans="1:49" ht="51" x14ac:dyDescent="0.25">
      <c r="A151" s="400" t="s">
        <v>1626</v>
      </c>
      <c r="B151" s="484" t="s">
        <v>1718</v>
      </c>
      <c r="C151" s="484">
        <v>2</v>
      </c>
      <c r="D151" s="484">
        <v>3</v>
      </c>
      <c r="E151" s="484">
        <v>3</v>
      </c>
      <c r="F151" s="484">
        <v>2</v>
      </c>
      <c r="G151" s="484">
        <v>3</v>
      </c>
      <c r="H151" s="484">
        <v>5</v>
      </c>
      <c r="I151" s="484"/>
      <c r="J151" s="484"/>
      <c r="K151" s="496">
        <f t="shared" si="146"/>
        <v>1</v>
      </c>
      <c r="L151" s="496">
        <f t="shared" si="147"/>
        <v>1</v>
      </c>
      <c r="M151" s="496">
        <f t="shared" si="148"/>
        <v>1</v>
      </c>
      <c r="N151" s="884"/>
      <c r="O151" s="884"/>
      <c r="P151" s="884"/>
      <c r="Q151" s="884"/>
      <c r="R151" s="884"/>
      <c r="S151" s="884"/>
      <c r="T151" s="884"/>
      <c r="U151" s="884"/>
      <c r="V151" s="884"/>
      <c r="W151" s="884"/>
      <c r="X151" s="484">
        <v>11</v>
      </c>
      <c r="Y151" s="484">
        <f>SUM(F151:H151)</f>
        <v>10</v>
      </c>
      <c r="Z151" s="488">
        <f t="shared" si="149"/>
        <v>0.90909090909090906</v>
      </c>
      <c r="AA151" s="497">
        <v>0.25</v>
      </c>
      <c r="AB151" s="497">
        <v>0.25</v>
      </c>
      <c r="AC151" s="497">
        <v>0.25</v>
      </c>
      <c r="AD151" s="408"/>
      <c r="AE151" s="408"/>
      <c r="AF151" s="497"/>
      <c r="AG151" s="408"/>
      <c r="AH151" s="497">
        <f t="shared" si="137"/>
        <v>0</v>
      </c>
      <c r="AI151" s="888">
        <f t="shared" si="139"/>
        <v>0</v>
      </c>
      <c r="AJ151" s="408"/>
      <c r="AK151" s="408"/>
      <c r="AL151" s="408"/>
      <c r="AM151" s="408"/>
      <c r="AN151" s="408" t="e">
        <f t="shared" si="138"/>
        <v>#DIV/0!</v>
      </c>
      <c r="AO151" s="408"/>
      <c r="AP151" s="408"/>
      <c r="AQ151" s="497"/>
      <c r="AR151" s="409"/>
      <c r="AS151" s="475"/>
      <c r="AT151" s="474"/>
      <c r="AU151" s="476"/>
      <c r="AV151" s="476"/>
      <c r="AW151" s="476"/>
    </row>
    <row r="152" spans="1:49" ht="51" x14ac:dyDescent="0.25">
      <c r="A152" s="404" t="s">
        <v>1627</v>
      </c>
      <c r="B152" s="484" t="s">
        <v>1641</v>
      </c>
      <c r="C152" s="484">
        <v>1</v>
      </c>
      <c r="D152" s="484">
        <v>2</v>
      </c>
      <c r="E152" s="484">
        <v>2</v>
      </c>
      <c r="F152" s="484">
        <v>1</v>
      </c>
      <c r="G152" s="484">
        <v>2</v>
      </c>
      <c r="H152" s="484">
        <v>2</v>
      </c>
      <c r="I152" s="484"/>
      <c r="J152" s="484"/>
      <c r="K152" s="496">
        <f t="shared" si="146"/>
        <v>1</v>
      </c>
      <c r="L152" s="496">
        <f t="shared" si="147"/>
        <v>1</v>
      </c>
      <c r="M152" s="496">
        <f t="shared" si="148"/>
        <v>1</v>
      </c>
      <c r="N152" s="884"/>
      <c r="O152" s="884"/>
      <c r="P152" s="884"/>
      <c r="Q152" s="884"/>
      <c r="R152" s="884"/>
      <c r="S152" s="884"/>
      <c r="T152" s="884"/>
      <c r="U152" s="884"/>
      <c r="V152" s="884"/>
      <c r="W152" s="884"/>
      <c r="X152" s="484">
        <v>8</v>
      </c>
      <c r="Y152" s="484">
        <f>SUM(F152:H152)</f>
        <v>5</v>
      </c>
      <c r="Z152" s="488">
        <f t="shared" si="149"/>
        <v>0.625</v>
      </c>
      <c r="AA152" s="497">
        <v>0.25</v>
      </c>
      <c r="AB152" s="497">
        <v>0.25</v>
      </c>
      <c r="AC152" s="497">
        <v>0.25</v>
      </c>
      <c r="AD152" s="408"/>
      <c r="AE152" s="408"/>
      <c r="AF152" s="497"/>
      <c r="AG152" s="408"/>
      <c r="AH152" s="497">
        <f t="shared" si="137"/>
        <v>0</v>
      </c>
      <c r="AI152" s="888">
        <f t="shared" si="139"/>
        <v>0</v>
      </c>
      <c r="AJ152" s="408"/>
      <c r="AK152" s="408"/>
      <c r="AL152" s="408"/>
      <c r="AM152" s="408"/>
      <c r="AN152" s="408" t="e">
        <f t="shared" si="138"/>
        <v>#DIV/0!</v>
      </c>
      <c r="AO152" s="408"/>
      <c r="AP152" s="408"/>
      <c r="AQ152" s="497"/>
      <c r="AR152" s="409"/>
      <c r="AS152" s="475"/>
      <c r="AT152" s="474"/>
      <c r="AU152" s="476"/>
      <c r="AV152" s="476"/>
      <c r="AW152" s="476"/>
    </row>
    <row r="153" spans="1:49" ht="102" x14ac:dyDescent="0.25">
      <c r="A153" s="555" t="s">
        <v>1628</v>
      </c>
      <c r="B153" s="554" t="s">
        <v>1724</v>
      </c>
      <c r="C153" s="548"/>
      <c r="D153" s="548"/>
      <c r="E153" s="548"/>
      <c r="F153" s="548"/>
      <c r="G153" s="548"/>
      <c r="H153" s="548"/>
      <c r="I153" s="548"/>
      <c r="J153" s="548"/>
      <c r="K153" s="549">
        <f>+SUMPRODUCT(K154:K161,AA154:AA161)</f>
        <v>0.7681</v>
      </c>
      <c r="L153" s="549">
        <f>+SUMPRODUCT(L154:L161,AB154:AB161)</f>
        <v>0.82375999999999994</v>
      </c>
      <c r="M153" s="549">
        <f>+SUMPRODUCT(M154:M161,AC154:AC161)</f>
        <v>0.83440000000000003</v>
      </c>
      <c r="N153" s="570"/>
      <c r="O153" s="570"/>
      <c r="P153" s="570"/>
      <c r="Q153" s="570"/>
      <c r="R153" s="570"/>
      <c r="S153" s="570"/>
      <c r="T153" s="570"/>
      <c r="U153" s="570"/>
      <c r="V153" s="570"/>
      <c r="W153" s="570"/>
      <c r="X153" s="548">
        <v>1</v>
      </c>
      <c r="Y153" s="548"/>
      <c r="Z153" s="549">
        <f>+SUMPRODUCT(Z154:Z161,AA154:AA161)</f>
        <v>0.50236499999999995</v>
      </c>
      <c r="AA153" s="549">
        <v>0.25</v>
      </c>
      <c r="AB153" s="549">
        <v>0.25</v>
      </c>
      <c r="AC153" s="549">
        <v>0.25</v>
      </c>
      <c r="AD153" s="571">
        <v>140000000</v>
      </c>
      <c r="AE153" s="570">
        <v>120999000</v>
      </c>
      <c r="AF153" s="548">
        <f>AE153/AD153</f>
        <v>0.86427857142857145</v>
      </c>
      <c r="AG153" s="570">
        <v>120999000</v>
      </c>
      <c r="AH153" s="548">
        <f t="shared" ref="AH153" si="150">+AG153/AD153</f>
        <v>0.86427857142857145</v>
      </c>
      <c r="AI153" s="886">
        <f>+AE153-AG153</f>
        <v>0</v>
      </c>
      <c r="AJ153" s="905">
        <v>0</v>
      </c>
      <c r="AK153" s="905">
        <v>0</v>
      </c>
      <c r="AL153" s="905"/>
      <c r="AM153" s="905"/>
      <c r="AN153" s="906" t="e">
        <f t="shared" si="138"/>
        <v>#DIV/0!</v>
      </c>
      <c r="AO153" s="570">
        <v>594000000</v>
      </c>
      <c r="AP153" s="571">
        <v>363910171</v>
      </c>
      <c r="AQ153" s="549">
        <f>AP153/AO153</f>
        <v>0.61264338552188558</v>
      </c>
      <c r="AR153" s="550"/>
      <c r="AS153" s="551" t="s">
        <v>1490</v>
      </c>
      <c r="AT153" s="552"/>
      <c r="AU153" s="553"/>
      <c r="AV153" s="553"/>
      <c r="AW153" s="553"/>
    </row>
    <row r="154" spans="1:49" ht="38.25" x14ac:dyDescent="0.25">
      <c r="A154" s="400" t="s">
        <v>1629</v>
      </c>
      <c r="B154" s="484" t="s">
        <v>1715</v>
      </c>
      <c r="C154" s="488">
        <v>1</v>
      </c>
      <c r="D154" s="488">
        <v>1</v>
      </c>
      <c r="E154" s="488">
        <v>1</v>
      </c>
      <c r="F154" s="488">
        <v>0.5</v>
      </c>
      <c r="G154" s="488">
        <v>1</v>
      </c>
      <c r="H154" s="488">
        <v>0.5</v>
      </c>
      <c r="I154" s="488"/>
      <c r="J154" s="488"/>
      <c r="K154" s="496">
        <f t="shared" ref="K154:K161" si="151">IF(F154/C154&gt;=100%,100%,F154/C154)</f>
        <v>0.5</v>
      </c>
      <c r="L154" s="496">
        <f t="shared" ref="L154:L161" si="152">IF(G154/D154&gt;=100%,100%,G154/D154)</f>
        <v>1</v>
      </c>
      <c r="M154" s="496">
        <v>1</v>
      </c>
      <c r="N154" s="884"/>
      <c r="O154" s="884"/>
      <c r="P154" s="884"/>
      <c r="Q154" s="884"/>
      <c r="R154" s="884"/>
      <c r="S154" s="884"/>
      <c r="T154" s="884"/>
      <c r="U154" s="884"/>
      <c r="V154" s="884"/>
      <c r="W154" s="884"/>
      <c r="X154" s="488">
        <v>1</v>
      </c>
      <c r="Y154" s="488">
        <f t="shared" ref="Y154:Y161" si="153">SUM(F154:H154)/4</f>
        <v>0.5</v>
      </c>
      <c r="Z154" s="488">
        <f>IF(Y154/X154&gt;=100%,100%,Y154/X154)</f>
        <v>0.5</v>
      </c>
      <c r="AA154" s="497">
        <v>0.13</v>
      </c>
      <c r="AB154" s="497">
        <v>0.13</v>
      </c>
      <c r="AC154" s="497">
        <v>0.13</v>
      </c>
      <c r="AD154" s="408"/>
      <c r="AE154" s="408"/>
      <c r="AF154" s="497"/>
      <c r="AG154" s="408"/>
      <c r="AH154" s="497">
        <f t="shared" si="137"/>
        <v>0</v>
      </c>
      <c r="AI154" s="408">
        <f t="shared" si="139"/>
        <v>0</v>
      </c>
      <c r="AJ154" s="408"/>
      <c r="AK154" s="408"/>
      <c r="AL154" s="408"/>
      <c r="AM154" s="408"/>
      <c r="AN154" s="408" t="e">
        <f t="shared" si="138"/>
        <v>#DIV/0!</v>
      </c>
      <c r="AO154" s="408"/>
      <c r="AP154" s="408"/>
      <c r="AQ154" s="497"/>
      <c r="AR154" s="409"/>
      <c r="AS154" s="475"/>
      <c r="AT154" s="474"/>
      <c r="AU154" s="476"/>
      <c r="AV154" s="476"/>
      <c r="AW154" s="476"/>
    </row>
    <row r="155" spans="1:49" ht="38.25" x14ac:dyDescent="0.25">
      <c r="A155" s="400" t="s">
        <v>1630</v>
      </c>
      <c r="B155" s="484" t="s">
        <v>1715</v>
      </c>
      <c r="C155" s="488">
        <v>1</v>
      </c>
      <c r="D155" s="488">
        <v>1</v>
      </c>
      <c r="E155" s="488">
        <v>1</v>
      </c>
      <c r="F155" s="488">
        <v>0.9</v>
      </c>
      <c r="G155" s="488">
        <v>0.81200000000000006</v>
      </c>
      <c r="H155" s="488">
        <v>0.4</v>
      </c>
      <c r="I155" s="488"/>
      <c r="J155" s="488"/>
      <c r="K155" s="496">
        <f t="shared" si="151"/>
        <v>0.9</v>
      </c>
      <c r="L155" s="496">
        <f t="shared" si="152"/>
        <v>0.81200000000000006</v>
      </c>
      <c r="M155" s="496">
        <v>0.85</v>
      </c>
      <c r="N155" s="884"/>
      <c r="O155" s="884"/>
      <c r="P155" s="884"/>
      <c r="Q155" s="884"/>
      <c r="R155" s="884"/>
      <c r="S155" s="884"/>
      <c r="T155" s="884"/>
      <c r="U155" s="884"/>
      <c r="V155" s="884"/>
      <c r="W155" s="884"/>
      <c r="X155" s="488">
        <v>1</v>
      </c>
      <c r="Y155" s="488">
        <f t="shared" si="153"/>
        <v>0.52800000000000002</v>
      </c>
      <c r="Z155" s="488">
        <f t="shared" ref="Z155:Z161" si="154">IF(Y155/X155&gt;=100%,100%,Y155/X155)</f>
        <v>0.52800000000000002</v>
      </c>
      <c r="AA155" s="497">
        <v>0.13</v>
      </c>
      <c r="AB155" s="497">
        <v>0.13</v>
      </c>
      <c r="AC155" s="497">
        <v>0.13</v>
      </c>
      <c r="AD155" s="408"/>
      <c r="AE155" s="408"/>
      <c r="AF155" s="497"/>
      <c r="AG155" s="408"/>
      <c r="AH155" s="497">
        <f t="shared" si="137"/>
        <v>0</v>
      </c>
      <c r="AI155" s="408">
        <f t="shared" si="139"/>
        <v>0</v>
      </c>
      <c r="AJ155" s="408"/>
      <c r="AK155" s="408"/>
      <c r="AL155" s="408"/>
      <c r="AM155" s="408"/>
      <c r="AN155" s="408" t="e">
        <f t="shared" si="138"/>
        <v>#DIV/0!</v>
      </c>
      <c r="AO155" s="408"/>
      <c r="AP155" s="408"/>
      <c r="AQ155" s="497"/>
      <c r="AR155" s="409"/>
      <c r="AS155" s="475"/>
      <c r="AT155" s="474"/>
      <c r="AU155" s="476"/>
      <c r="AV155" s="476"/>
      <c r="AW155" s="476"/>
    </row>
    <row r="156" spans="1:49" ht="38.25" x14ac:dyDescent="0.25">
      <c r="A156" s="400" t="s">
        <v>1631</v>
      </c>
      <c r="B156" s="484" t="s">
        <v>1715</v>
      </c>
      <c r="C156" s="488">
        <v>1</v>
      </c>
      <c r="D156" s="488">
        <v>1</v>
      </c>
      <c r="E156" s="488">
        <v>1</v>
      </c>
      <c r="F156" s="488">
        <v>1</v>
      </c>
      <c r="G156" s="488">
        <v>1</v>
      </c>
      <c r="H156" s="488">
        <v>0.5</v>
      </c>
      <c r="I156" s="488"/>
      <c r="J156" s="488"/>
      <c r="K156" s="496">
        <f t="shared" si="151"/>
        <v>1</v>
      </c>
      <c r="L156" s="496">
        <f t="shared" si="152"/>
        <v>1</v>
      </c>
      <c r="M156" s="496">
        <v>1</v>
      </c>
      <c r="N156" s="884"/>
      <c r="O156" s="884"/>
      <c r="P156" s="884"/>
      <c r="Q156" s="884"/>
      <c r="R156" s="884"/>
      <c r="S156" s="884"/>
      <c r="T156" s="884"/>
      <c r="U156" s="884"/>
      <c r="V156" s="884"/>
      <c r="W156" s="884"/>
      <c r="X156" s="488">
        <v>1</v>
      </c>
      <c r="Y156" s="488">
        <f t="shared" si="153"/>
        <v>0.625</v>
      </c>
      <c r="Z156" s="488">
        <f t="shared" si="154"/>
        <v>0.625</v>
      </c>
      <c r="AA156" s="497">
        <v>0.13</v>
      </c>
      <c r="AB156" s="497">
        <v>0.13</v>
      </c>
      <c r="AC156" s="497">
        <v>0.13</v>
      </c>
      <c r="AD156" s="408"/>
      <c r="AE156" s="408"/>
      <c r="AF156" s="497"/>
      <c r="AG156" s="408"/>
      <c r="AH156" s="497">
        <f t="shared" si="137"/>
        <v>0</v>
      </c>
      <c r="AI156" s="408">
        <f t="shared" si="139"/>
        <v>0</v>
      </c>
      <c r="AJ156" s="408"/>
      <c r="AK156" s="408"/>
      <c r="AL156" s="408"/>
      <c r="AM156" s="408"/>
      <c r="AN156" s="408" t="e">
        <f t="shared" si="138"/>
        <v>#DIV/0!</v>
      </c>
      <c r="AO156" s="408"/>
      <c r="AP156" s="408"/>
      <c r="AQ156" s="497"/>
      <c r="AR156" s="409"/>
      <c r="AS156" s="475"/>
      <c r="AT156" s="474"/>
      <c r="AU156" s="476"/>
      <c r="AV156" s="476"/>
      <c r="AW156" s="476"/>
    </row>
    <row r="157" spans="1:49" ht="38.25" x14ac:dyDescent="0.25">
      <c r="A157" s="400" t="s">
        <v>1632</v>
      </c>
      <c r="B157" s="484" t="s">
        <v>1715</v>
      </c>
      <c r="C157" s="488">
        <v>1</v>
      </c>
      <c r="D157" s="488">
        <v>1</v>
      </c>
      <c r="E157" s="488">
        <v>1</v>
      </c>
      <c r="F157" s="488">
        <v>0.85</v>
      </c>
      <c r="G157" s="488">
        <v>0.7</v>
      </c>
      <c r="H157" s="488">
        <v>0.4</v>
      </c>
      <c r="I157" s="488"/>
      <c r="J157" s="488"/>
      <c r="K157" s="496">
        <f t="shared" si="151"/>
        <v>0.85</v>
      </c>
      <c r="L157" s="496">
        <f t="shared" si="152"/>
        <v>0.7</v>
      </c>
      <c r="M157" s="496">
        <v>0.91</v>
      </c>
      <c r="N157" s="884"/>
      <c r="O157" s="884"/>
      <c r="P157" s="884"/>
      <c r="Q157" s="884"/>
      <c r="R157" s="884"/>
      <c r="S157" s="884"/>
      <c r="T157" s="884"/>
      <c r="U157" s="884"/>
      <c r="V157" s="884"/>
      <c r="W157" s="884"/>
      <c r="X157" s="488">
        <v>1</v>
      </c>
      <c r="Y157" s="488">
        <f t="shared" si="153"/>
        <v>0.48749999999999993</v>
      </c>
      <c r="Z157" s="488">
        <f t="shared" si="154"/>
        <v>0.48749999999999993</v>
      </c>
      <c r="AA157" s="497">
        <v>0.13</v>
      </c>
      <c r="AB157" s="497">
        <v>0.13</v>
      </c>
      <c r="AC157" s="497">
        <v>0.13</v>
      </c>
      <c r="AD157" s="408"/>
      <c r="AE157" s="408"/>
      <c r="AF157" s="497"/>
      <c r="AG157" s="408"/>
      <c r="AH157" s="497">
        <f t="shared" si="137"/>
        <v>0</v>
      </c>
      <c r="AI157" s="408">
        <f t="shared" si="139"/>
        <v>0</v>
      </c>
      <c r="AJ157" s="408"/>
      <c r="AK157" s="408"/>
      <c r="AL157" s="408"/>
      <c r="AM157" s="408"/>
      <c r="AN157" s="408" t="e">
        <f t="shared" si="138"/>
        <v>#DIV/0!</v>
      </c>
      <c r="AO157" s="408"/>
      <c r="AP157" s="408"/>
      <c r="AQ157" s="497"/>
      <c r="AR157" s="409"/>
      <c r="AS157" s="475"/>
      <c r="AT157" s="474"/>
      <c r="AU157" s="476"/>
      <c r="AV157" s="476"/>
      <c r="AW157" s="476"/>
    </row>
    <row r="158" spans="1:49" ht="38.25" x14ac:dyDescent="0.25">
      <c r="A158" s="404" t="s">
        <v>1633</v>
      </c>
      <c r="B158" s="484" t="s">
        <v>1715</v>
      </c>
      <c r="C158" s="488">
        <v>1</v>
      </c>
      <c r="D158" s="488">
        <v>1</v>
      </c>
      <c r="E158" s="488">
        <v>1</v>
      </c>
      <c r="F158" s="488">
        <v>0.9</v>
      </c>
      <c r="G158" s="488">
        <v>0.78</v>
      </c>
      <c r="H158" s="488">
        <v>0.5</v>
      </c>
      <c r="I158" s="488"/>
      <c r="J158" s="488"/>
      <c r="K158" s="496">
        <f t="shared" si="151"/>
        <v>0.9</v>
      </c>
      <c r="L158" s="496">
        <f t="shared" si="152"/>
        <v>0.78</v>
      </c>
      <c r="M158" s="496">
        <v>0.8</v>
      </c>
      <c r="N158" s="884"/>
      <c r="O158" s="884"/>
      <c r="P158" s="884"/>
      <c r="Q158" s="884"/>
      <c r="R158" s="884"/>
      <c r="S158" s="884"/>
      <c r="T158" s="884"/>
      <c r="U158" s="884"/>
      <c r="V158" s="884"/>
      <c r="W158" s="884"/>
      <c r="X158" s="488">
        <v>1</v>
      </c>
      <c r="Y158" s="488">
        <f t="shared" si="153"/>
        <v>0.54500000000000004</v>
      </c>
      <c r="Z158" s="488">
        <f t="shared" si="154"/>
        <v>0.54500000000000004</v>
      </c>
      <c r="AA158" s="497">
        <v>0.12</v>
      </c>
      <c r="AB158" s="497">
        <v>0.12</v>
      </c>
      <c r="AC158" s="497">
        <v>0.12</v>
      </c>
      <c r="AD158" s="408"/>
      <c r="AE158" s="408"/>
      <c r="AF158" s="497"/>
      <c r="AG158" s="408"/>
      <c r="AH158" s="497">
        <f t="shared" si="137"/>
        <v>0</v>
      </c>
      <c r="AI158" s="408">
        <f t="shared" si="139"/>
        <v>0</v>
      </c>
      <c r="AJ158" s="408"/>
      <c r="AK158" s="408"/>
      <c r="AL158" s="408"/>
      <c r="AM158" s="408"/>
      <c r="AN158" s="408" t="e">
        <f t="shared" si="138"/>
        <v>#DIV/0!</v>
      </c>
      <c r="AO158" s="408"/>
      <c r="AP158" s="408"/>
      <c r="AQ158" s="497"/>
      <c r="AR158" s="409"/>
      <c r="AS158" s="475"/>
      <c r="AT158" s="474"/>
      <c r="AU158" s="476"/>
      <c r="AV158" s="476"/>
      <c r="AW158" s="476"/>
    </row>
    <row r="159" spans="1:49" ht="38.25" x14ac:dyDescent="0.25">
      <c r="A159" s="400" t="s">
        <v>1634</v>
      </c>
      <c r="B159" s="484" t="s">
        <v>1715</v>
      </c>
      <c r="C159" s="488">
        <v>1</v>
      </c>
      <c r="D159" s="488">
        <v>1</v>
      </c>
      <c r="E159" s="488">
        <v>1</v>
      </c>
      <c r="F159" s="488">
        <v>0.98</v>
      </c>
      <c r="G159" s="488">
        <v>0.88</v>
      </c>
      <c r="H159" s="488">
        <v>0.43</v>
      </c>
      <c r="I159" s="488"/>
      <c r="J159" s="488"/>
      <c r="K159" s="496">
        <f t="shared" si="151"/>
        <v>0.98</v>
      </c>
      <c r="L159" s="496">
        <f t="shared" si="152"/>
        <v>0.88</v>
      </c>
      <c r="M159" s="496">
        <v>0.98</v>
      </c>
      <c r="N159" s="884"/>
      <c r="O159" s="884"/>
      <c r="P159" s="884"/>
      <c r="Q159" s="884"/>
      <c r="R159" s="884"/>
      <c r="S159" s="884"/>
      <c r="T159" s="884"/>
      <c r="U159" s="884"/>
      <c r="V159" s="884"/>
      <c r="W159" s="884"/>
      <c r="X159" s="488">
        <v>1</v>
      </c>
      <c r="Y159" s="488">
        <f t="shared" si="153"/>
        <v>0.57250000000000001</v>
      </c>
      <c r="Z159" s="488">
        <f t="shared" si="154"/>
        <v>0.57250000000000001</v>
      </c>
      <c r="AA159" s="497">
        <v>0.12</v>
      </c>
      <c r="AB159" s="497">
        <v>0.12</v>
      </c>
      <c r="AC159" s="497">
        <v>0.12</v>
      </c>
      <c r="AD159" s="408"/>
      <c r="AE159" s="408"/>
      <c r="AF159" s="497"/>
      <c r="AG159" s="408"/>
      <c r="AH159" s="497">
        <f t="shared" si="137"/>
        <v>0</v>
      </c>
      <c r="AI159" s="408">
        <f t="shared" si="139"/>
        <v>0</v>
      </c>
      <c r="AJ159" s="408"/>
      <c r="AK159" s="408"/>
      <c r="AL159" s="408"/>
      <c r="AM159" s="408"/>
      <c r="AN159" s="408" t="e">
        <f t="shared" si="138"/>
        <v>#DIV/0!</v>
      </c>
      <c r="AO159" s="408"/>
      <c r="AP159" s="408"/>
      <c r="AQ159" s="497"/>
      <c r="AR159" s="409"/>
      <c r="AS159" s="475"/>
      <c r="AT159" s="474"/>
      <c r="AU159" s="476"/>
      <c r="AV159" s="476"/>
      <c r="AW159" s="476"/>
    </row>
    <row r="160" spans="1:49" ht="38.25" x14ac:dyDescent="0.25">
      <c r="A160" s="400" t="s">
        <v>1635</v>
      </c>
      <c r="B160" s="484" t="s">
        <v>1715</v>
      </c>
      <c r="C160" s="488">
        <v>1</v>
      </c>
      <c r="D160" s="488">
        <v>1</v>
      </c>
      <c r="E160" s="488">
        <v>1</v>
      </c>
      <c r="F160" s="488">
        <v>0</v>
      </c>
      <c r="G160" s="488">
        <v>0.5</v>
      </c>
      <c r="H160" s="488">
        <v>0.1</v>
      </c>
      <c r="I160" s="488"/>
      <c r="J160" s="488"/>
      <c r="K160" s="496">
        <f t="shared" si="151"/>
        <v>0</v>
      </c>
      <c r="L160" s="496">
        <f t="shared" si="152"/>
        <v>0.5</v>
      </c>
      <c r="M160" s="496">
        <v>0.1</v>
      </c>
      <c r="N160" s="884"/>
      <c r="O160" s="884"/>
      <c r="P160" s="884"/>
      <c r="Q160" s="884"/>
      <c r="R160" s="884"/>
      <c r="S160" s="884"/>
      <c r="T160" s="884"/>
      <c r="U160" s="884"/>
      <c r="V160" s="884"/>
      <c r="W160" s="884"/>
      <c r="X160" s="488">
        <v>1</v>
      </c>
      <c r="Y160" s="488">
        <f t="shared" si="153"/>
        <v>0.15</v>
      </c>
      <c r="Z160" s="488">
        <f t="shared" si="154"/>
        <v>0.15</v>
      </c>
      <c r="AA160" s="497">
        <v>0.12</v>
      </c>
      <c r="AB160" s="497">
        <v>0.12</v>
      </c>
      <c r="AC160" s="497">
        <v>0.12</v>
      </c>
      <c r="AD160" s="408"/>
      <c r="AE160" s="408"/>
      <c r="AF160" s="497"/>
      <c r="AG160" s="408"/>
      <c r="AH160" s="497">
        <f t="shared" si="137"/>
        <v>0</v>
      </c>
      <c r="AI160" s="408">
        <f t="shared" si="139"/>
        <v>0</v>
      </c>
      <c r="AJ160" s="408"/>
      <c r="AK160" s="408"/>
      <c r="AL160" s="408"/>
      <c r="AM160" s="408"/>
      <c r="AN160" s="408" t="e">
        <f t="shared" si="138"/>
        <v>#DIV/0!</v>
      </c>
      <c r="AO160" s="408"/>
      <c r="AP160" s="408"/>
      <c r="AQ160" s="497"/>
      <c r="AR160" s="409"/>
      <c r="AS160" s="475"/>
      <c r="AT160" s="474"/>
      <c r="AU160" s="476"/>
      <c r="AV160" s="476"/>
      <c r="AW160" s="476"/>
    </row>
    <row r="161" spans="1:49" ht="51" x14ac:dyDescent="0.25">
      <c r="A161" s="400" t="s">
        <v>1636</v>
      </c>
      <c r="B161" s="484" t="s">
        <v>1720</v>
      </c>
      <c r="C161" s="488">
        <v>1</v>
      </c>
      <c r="D161" s="488">
        <v>1</v>
      </c>
      <c r="E161" s="488">
        <v>1</v>
      </c>
      <c r="F161" s="488">
        <v>1</v>
      </c>
      <c r="G161" s="488">
        <v>0.9</v>
      </c>
      <c r="H161" s="488">
        <v>0.5</v>
      </c>
      <c r="I161" s="488"/>
      <c r="J161" s="488"/>
      <c r="K161" s="496">
        <f t="shared" si="151"/>
        <v>1</v>
      </c>
      <c r="L161" s="496">
        <f t="shared" si="152"/>
        <v>0.9</v>
      </c>
      <c r="M161" s="496">
        <v>1</v>
      </c>
      <c r="N161" s="884"/>
      <c r="O161" s="884"/>
      <c r="P161" s="884"/>
      <c r="Q161" s="884"/>
      <c r="R161" s="884"/>
      <c r="S161" s="884"/>
      <c r="T161" s="884"/>
      <c r="U161" s="884"/>
      <c r="V161" s="884"/>
      <c r="W161" s="884"/>
      <c r="X161" s="488">
        <v>1</v>
      </c>
      <c r="Y161" s="488">
        <f t="shared" si="153"/>
        <v>0.6</v>
      </c>
      <c r="Z161" s="488">
        <f t="shared" si="154"/>
        <v>0.6</v>
      </c>
      <c r="AA161" s="497">
        <v>0.12</v>
      </c>
      <c r="AB161" s="497">
        <v>0.12</v>
      </c>
      <c r="AC161" s="497">
        <v>0.12</v>
      </c>
      <c r="AD161" s="408"/>
      <c r="AE161" s="408"/>
      <c r="AF161" s="497"/>
      <c r="AG161" s="408"/>
      <c r="AH161" s="497">
        <f t="shared" si="137"/>
        <v>0</v>
      </c>
      <c r="AI161" s="408">
        <f t="shared" si="139"/>
        <v>0</v>
      </c>
      <c r="AJ161" s="408"/>
      <c r="AK161" s="408"/>
      <c r="AL161" s="408"/>
      <c r="AM161" s="408"/>
      <c r="AN161" s="408" t="e">
        <f t="shared" si="138"/>
        <v>#DIV/0!</v>
      </c>
      <c r="AO161" s="408"/>
      <c r="AP161" s="408"/>
      <c r="AQ161" s="497"/>
      <c r="AR161" s="409"/>
      <c r="AS161" s="475"/>
      <c r="AT161" s="474"/>
      <c r="AU161" s="476"/>
      <c r="AV161" s="476"/>
      <c r="AW161" s="476"/>
    </row>
    <row r="162" spans="1:49" x14ac:dyDescent="0.25">
      <c r="A162" s="400" t="s">
        <v>1725</v>
      </c>
      <c r="B162" s="484"/>
      <c r="C162" s="484"/>
      <c r="D162" s="484"/>
      <c r="E162" s="484"/>
      <c r="F162" s="484"/>
      <c r="G162" s="484"/>
      <c r="H162" s="484"/>
      <c r="I162" s="484"/>
      <c r="J162" s="484"/>
      <c r="K162" s="488"/>
      <c r="L162" s="488"/>
      <c r="M162" s="488"/>
      <c r="N162" s="884"/>
      <c r="O162" s="884"/>
      <c r="P162" s="884"/>
      <c r="Q162" s="884"/>
      <c r="R162" s="884"/>
      <c r="S162" s="884"/>
      <c r="T162" s="884"/>
      <c r="U162" s="884"/>
      <c r="V162" s="884"/>
      <c r="W162" s="884"/>
      <c r="X162" s="484"/>
      <c r="Y162" s="484"/>
      <c r="Z162" s="488"/>
      <c r="AA162" s="497"/>
      <c r="AB162" s="497"/>
      <c r="AC162" s="497"/>
      <c r="AD162" s="408">
        <v>0</v>
      </c>
      <c r="AE162" s="408">
        <v>0</v>
      </c>
      <c r="AF162" s="486"/>
      <c r="AG162" s="408">
        <v>0</v>
      </c>
      <c r="AH162" s="486" t="e">
        <f t="shared" ref="AH162:AH167" si="155">+AG162/AD162</f>
        <v>#DIV/0!</v>
      </c>
      <c r="AI162" s="888">
        <f t="shared" si="139"/>
        <v>0</v>
      </c>
      <c r="AJ162" s="408"/>
      <c r="AK162" s="408"/>
      <c r="AL162" s="408"/>
      <c r="AM162" s="408"/>
      <c r="AN162" s="408" t="e">
        <f t="shared" si="138"/>
        <v>#DIV/0!</v>
      </c>
      <c r="AO162" s="408">
        <v>2543252115.7399998</v>
      </c>
      <c r="AP162" s="408">
        <v>1805073491</v>
      </c>
      <c r="AQ162" s="486">
        <f>AP162/AO162</f>
        <v>0.70975011868801108</v>
      </c>
      <c r="AR162" s="409"/>
      <c r="AS162" s="475"/>
      <c r="AT162" s="474"/>
      <c r="AU162" s="476"/>
      <c r="AV162" s="476"/>
      <c r="AW162" s="476"/>
    </row>
    <row r="163" spans="1:49" ht="25.5" x14ac:dyDescent="0.25">
      <c r="A163" s="400" t="s">
        <v>1721</v>
      </c>
      <c r="B163" s="484"/>
      <c r="C163" s="484"/>
      <c r="D163" s="484"/>
      <c r="E163" s="484"/>
      <c r="F163" s="484"/>
      <c r="G163" s="484"/>
      <c r="H163" s="484"/>
      <c r="I163" s="484"/>
      <c r="J163" s="484"/>
      <c r="K163" s="488"/>
      <c r="L163" s="488"/>
      <c r="M163" s="488"/>
      <c r="N163" s="884"/>
      <c r="O163" s="884"/>
      <c r="P163" s="884"/>
      <c r="Q163" s="884"/>
      <c r="R163" s="884"/>
      <c r="S163" s="884"/>
      <c r="T163" s="884"/>
      <c r="U163" s="884"/>
      <c r="V163" s="884"/>
      <c r="W163" s="884"/>
      <c r="X163" s="484"/>
      <c r="Y163" s="484"/>
      <c r="Z163" s="488"/>
      <c r="AA163" s="497"/>
      <c r="AB163" s="497"/>
      <c r="AC163" s="497"/>
      <c r="AD163" s="408"/>
      <c r="AE163" s="408"/>
      <c r="AF163" s="488"/>
      <c r="AG163" s="408"/>
      <c r="AH163" s="488" t="e">
        <f t="shared" si="155"/>
        <v>#DIV/0!</v>
      </c>
      <c r="AI163" s="888">
        <f t="shared" si="139"/>
        <v>0</v>
      </c>
      <c r="AJ163" s="408"/>
      <c r="AK163" s="408"/>
      <c r="AL163" s="408"/>
      <c r="AM163" s="408"/>
      <c r="AN163" s="408" t="e">
        <f t="shared" si="138"/>
        <v>#DIV/0!</v>
      </c>
      <c r="AO163" s="408">
        <v>14925777175</v>
      </c>
      <c r="AP163" s="408">
        <v>14915089856</v>
      </c>
      <c r="AQ163" s="486">
        <f>AP163/AO163</f>
        <v>0.999283969010478</v>
      </c>
      <c r="AR163" s="409"/>
      <c r="AS163" s="475"/>
      <c r="AT163" s="474"/>
      <c r="AU163" s="476"/>
      <c r="AV163" s="476"/>
      <c r="AW163" s="476"/>
    </row>
    <row r="164" spans="1:49" ht="13.5" thickBot="1" x14ac:dyDescent="0.3">
      <c r="A164" s="400" t="s">
        <v>1859</v>
      </c>
      <c r="B164" s="484"/>
      <c r="C164" s="484"/>
      <c r="D164" s="484"/>
      <c r="E164" s="484"/>
      <c r="F164" s="484"/>
      <c r="G164" s="484"/>
      <c r="H164" s="484"/>
      <c r="I164" s="484"/>
      <c r="J164" s="484"/>
      <c r="K164" s="488"/>
      <c r="L164" s="488"/>
      <c r="M164" s="488"/>
      <c r="N164" s="884"/>
      <c r="O164" s="884"/>
      <c r="P164" s="884"/>
      <c r="Q164" s="884"/>
      <c r="R164" s="884"/>
      <c r="S164" s="884"/>
      <c r="T164" s="884"/>
      <c r="U164" s="884"/>
      <c r="V164" s="884"/>
      <c r="W164" s="884"/>
      <c r="X164" s="484"/>
      <c r="Y164" s="484"/>
      <c r="Z164" s="488"/>
      <c r="AA164" s="497"/>
      <c r="AB164" s="497"/>
      <c r="AC164" s="497"/>
      <c r="AD164" s="408">
        <v>79057608517</v>
      </c>
      <c r="AE164" s="408">
        <v>78932170680</v>
      </c>
      <c r="AF164" s="497">
        <f>AE164/AD164</f>
        <v>0.99841333630813001</v>
      </c>
      <c r="AG164" s="408">
        <v>65699767403</v>
      </c>
      <c r="AH164" s="497">
        <f t="shared" si="155"/>
        <v>0.831036615392589</v>
      </c>
      <c r="AI164" s="408">
        <f>+AE164-AG164</f>
        <v>13232403277</v>
      </c>
      <c r="AJ164" s="408">
        <v>0</v>
      </c>
      <c r="AK164" s="408">
        <v>0</v>
      </c>
      <c r="AL164" s="408"/>
      <c r="AM164" s="408"/>
      <c r="AN164" s="408" t="e">
        <f t="shared" si="138"/>
        <v>#DIV/0!</v>
      </c>
      <c r="AO164" s="408">
        <v>83957271443.100006</v>
      </c>
      <c r="AP164" s="408">
        <v>83831833607</v>
      </c>
      <c r="AQ164" s="520">
        <f>AP164/AO164</f>
        <v>0.99850593243510755</v>
      </c>
      <c r="AR164" s="409"/>
      <c r="AS164" s="475"/>
      <c r="AT164" s="474"/>
      <c r="AU164" s="476"/>
      <c r="AV164" s="476"/>
      <c r="AW164" s="476"/>
    </row>
    <row r="165" spans="1:49" ht="26.45" customHeight="1" thickBot="1" x14ac:dyDescent="0.3">
      <c r="A165" s="928" t="s">
        <v>1260</v>
      </c>
      <c r="B165" s="929"/>
      <c r="C165" s="513"/>
      <c r="D165" s="513"/>
      <c r="E165" s="513"/>
      <c r="F165" s="513"/>
      <c r="G165" s="513"/>
      <c r="H165" s="513"/>
      <c r="I165" s="513"/>
      <c r="J165" s="513"/>
      <c r="K165" s="503">
        <f>(+K9+K22+K57+K75+K95+K101+K119+K127+K134)/9</f>
        <v>0.94798898148148147</v>
      </c>
      <c r="L165" s="503">
        <f>(+L9+L22+L57+L75+L95+L101+L119+L127+L134)/9</f>
        <v>0.94254434567901235</v>
      </c>
      <c r="M165" s="503">
        <f>(+M9+M22+M57+M75+M95+M101+M119+M127+M134)/9</f>
        <v>0.880076049382716</v>
      </c>
      <c r="N165" s="513"/>
      <c r="O165" s="513"/>
      <c r="P165" s="513"/>
      <c r="Q165" s="513"/>
      <c r="R165" s="513"/>
      <c r="S165" s="513"/>
      <c r="T165" s="513"/>
      <c r="U165" s="513"/>
      <c r="V165" s="513"/>
      <c r="W165" s="513"/>
      <c r="X165" s="513"/>
      <c r="Y165" s="513"/>
      <c r="Z165" s="503">
        <f>(+Z9+Z22+Z57+Z75+Z95+Z101+Z119+Z127+Z134)/9</f>
        <v>0.66772395957384911</v>
      </c>
      <c r="AA165" s="414"/>
      <c r="AB165" s="414"/>
      <c r="AC165" s="414"/>
      <c r="AD165" s="504">
        <f>(+AD9+AD22+AD57+AD75+AD95+AD101+AD119+AD127+AD134)+AD162+AD164</f>
        <v>186529074082</v>
      </c>
      <c r="AE165" s="504">
        <f>(+AE9+AE22+AE57+AE75+AE95+AE101+AE119+AE127+AE134)+AE162+AE164</f>
        <v>170422185818</v>
      </c>
      <c r="AF165" s="569">
        <f>AE165/AD165</f>
        <v>0.91364944932434899</v>
      </c>
      <c r="AG165" s="504">
        <f>(+AG9+AG22+AG57+AG75+AG95+AG101+AG119+AG127+AG134)+AG162+AG164</f>
        <v>92816666547</v>
      </c>
      <c r="AH165" s="569">
        <f t="shared" si="155"/>
        <v>0.4975989239414596</v>
      </c>
      <c r="AI165" s="504">
        <f>+AD165-AG165</f>
        <v>93712407535</v>
      </c>
      <c r="AJ165" s="504">
        <f>(+AJ9+AJ22+AJ57+AJ75+AJ95+AJ101+AJ119+AJ127+AJ134)+AJ162+AJ163+AJ164</f>
        <v>11351203388</v>
      </c>
      <c r="AK165" s="504">
        <f>(+AK9+AK22+AK57+AK75+AK95+AK101+AK119+AK127+AK134)</f>
        <v>11261916897</v>
      </c>
      <c r="AL165" s="504">
        <f>(+AL9+AL22+AL57+AL75+AL95+AL101+AL119+AL127+AL134)+AL162+AL163+AL164</f>
        <v>11877214259</v>
      </c>
      <c r="AM165" s="504">
        <f>(+AM9+AM22+AM57+AM75+AM95+AM101+AM119+AM127+AM134)</f>
        <v>11523998856</v>
      </c>
      <c r="AN165" s="895">
        <f t="shared" si="138"/>
        <v>0.97026109024409068</v>
      </c>
      <c r="AO165" s="415">
        <f>(+AO9+AO22+AO57+AO75+AO95+AO101+AO119+AO127+AO134)+AO162+AO163+AO164</f>
        <v>320513616201.56</v>
      </c>
      <c r="AP165" s="415">
        <f>(+AP9+AP22+AP57+AP75+AP95+AP101+AP119+AP127+AP134)+AP162+AP163+AP164</f>
        <v>233635716479</v>
      </c>
      <c r="AQ165" s="569">
        <f>AP165/AO165</f>
        <v>0.72894162578127264</v>
      </c>
      <c r="AR165" s="415"/>
      <c r="AS165" s="415"/>
      <c r="AT165" s="415"/>
      <c r="AU165" s="415"/>
      <c r="AV165" s="415"/>
      <c r="AW165" s="415"/>
    </row>
    <row r="166" spans="1:49" ht="19.5" customHeight="1" thickBot="1" x14ac:dyDescent="0.3">
      <c r="A166" s="930" t="s">
        <v>1261</v>
      </c>
      <c r="B166" s="930"/>
      <c r="C166" s="930"/>
      <c r="D166" s="930"/>
      <c r="E166" s="930"/>
      <c r="F166" s="930"/>
      <c r="G166" s="930"/>
      <c r="H166" s="930"/>
      <c r="I166" s="930"/>
      <c r="J166" s="930"/>
      <c r="K166" s="930"/>
      <c r="L166" s="930"/>
      <c r="M166" s="930"/>
      <c r="N166" s="930"/>
      <c r="O166" s="930"/>
      <c r="P166" s="930"/>
      <c r="Q166" s="930"/>
      <c r="R166" s="930"/>
      <c r="S166" s="930"/>
      <c r="T166" s="930"/>
      <c r="U166" s="930"/>
      <c r="V166" s="930"/>
      <c r="W166" s="930"/>
      <c r="X166" s="930"/>
      <c r="Y166" s="930"/>
      <c r="Z166" s="930"/>
      <c r="AA166" s="930"/>
      <c r="AB166" s="930"/>
      <c r="AC166" s="930"/>
      <c r="AD166" s="930"/>
      <c r="AE166" s="930"/>
      <c r="AF166" s="930"/>
      <c r="AG166" s="930"/>
      <c r="AH166" s="930"/>
      <c r="AI166" s="930"/>
      <c r="AJ166" s="930"/>
      <c r="AK166" s="930"/>
      <c r="AL166" s="930"/>
      <c r="AM166" s="930"/>
      <c r="AN166" s="930"/>
      <c r="AO166" s="930"/>
      <c r="AP166" s="930"/>
      <c r="AQ166" s="930"/>
      <c r="AR166" s="930"/>
    </row>
    <row r="167" spans="1:49" ht="13.5" thickBot="1" x14ac:dyDescent="0.3">
      <c r="A167" s="928" t="s">
        <v>2038</v>
      </c>
      <c r="B167" s="929"/>
      <c r="C167" s="513"/>
      <c r="D167" s="513"/>
      <c r="E167" s="513"/>
      <c r="F167" s="513"/>
      <c r="G167" s="513"/>
      <c r="H167" s="513"/>
      <c r="I167" s="513"/>
      <c r="J167" s="513"/>
      <c r="K167" s="569">
        <f>+(K8*AA8)+(K21*AA21)+(K133*AA133)</f>
        <v>0.9405010330000001</v>
      </c>
      <c r="L167" s="503">
        <f>+(L8*AA8)+(L21*AA21)+(L133*AA133)</f>
        <v>0.94283670880000003</v>
      </c>
      <c r="M167" s="503">
        <f>+(M8*AC8)+(M21*AC21)+(M133*AC133)</f>
        <v>0.92721657400000002</v>
      </c>
      <c r="N167" s="513"/>
      <c r="O167" s="513"/>
      <c r="P167" s="513"/>
      <c r="Q167" s="513"/>
      <c r="R167" s="513"/>
      <c r="S167" s="513"/>
      <c r="T167" s="513"/>
      <c r="U167" s="513"/>
      <c r="V167" s="513"/>
      <c r="W167" s="513"/>
      <c r="X167" s="513"/>
      <c r="Y167" s="513"/>
      <c r="Z167" s="569">
        <f>+(Z8*AA8)+(Z21*AA21)+(Z133*AA133)</f>
        <v>0.76126448266547908</v>
      </c>
      <c r="AA167" s="513"/>
      <c r="AB167" s="513"/>
      <c r="AC167" s="513"/>
      <c r="AD167" s="504">
        <f>AD8+AD21+AD133+AD162+AD164</f>
        <v>186529074082</v>
      </c>
      <c r="AE167" s="504">
        <f>AE8+AE21+AE133+AE162+AE164</f>
        <v>170422185818</v>
      </c>
      <c r="AF167" s="569">
        <f>AE167/AD167</f>
        <v>0.91364944932434899</v>
      </c>
      <c r="AG167" s="896">
        <f>AG8+AG21+AG133+AG162+AG164</f>
        <v>92816666547</v>
      </c>
      <c r="AH167" s="569">
        <f t="shared" si="155"/>
        <v>0.4975989239414596</v>
      </c>
      <c r="AI167" s="896">
        <f>+AD167-AG167</f>
        <v>93712407535</v>
      </c>
      <c r="AJ167" s="896">
        <f>AJ8+AJ21+AJ133+AJ162+AJ163+AJ164</f>
        <v>11351203388</v>
      </c>
      <c r="AK167" s="896">
        <f>AK8+AK21+AK133+AK162+AK163+AK164</f>
        <v>11261916897</v>
      </c>
      <c r="AL167" s="896">
        <f>AL8+AL21+AL133+AL162+AL163+AL164</f>
        <v>11877214259</v>
      </c>
      <c r="AM167" s="896">
        <f>AM8+AM21+AM133+AM162+AM163+AM164</f>
        <v>11523998856</v>
      </c>
      <c r="AN167" s="513"/>
      <c r="AO167" s="513"/>
      <c r="AP167" s="513"/>
      <c r="AQ167" s="513"/>
      <c r="AR167" s="513"/>
      <c r="AS167" s="513"/>
      <c r="AT167" s="513"/>
      <c r="AU167" s="513"/>
      <c r="AV167" s="513"/>
      <c r="AW167" s="513"/>
    </row>
    <row r="168" spans="1:49" ht="23.25" customHeight="1" x14ac:dyDescent="0.25">
      <c r="A168" s="922"/>
      <c r="B168" s="922"/>
      <c r="C168" s="922"/>
      <c r="D168" s="922"/>
      <c r="E168" s="922"/>
      <c r="F168" s="922"/>
      <c r="G168" s="922"/>
      <c r="H168" s="922"/>
      <c r="I168" s="922"/>
      <c r="J168" s="922"/>
      <c r="K168" s="922"/>
      <c r="L168" s="922"/>
      <c r="M168" s="922"/>
      <c r="N168" s="922"/>
      <c r="O168" s="922"/>
      <c r="P168" s="922"/>
      <c r="Q168" s="922"/>
      <c r="R168" s="922"/>
      <c r="S168" s="922"/>
      <c r="T168" s="922"/>
      <c r="U168" s="922"/>
      <c r="V168" s="922"/>
      <c r="W168" s="922"/>
      <c r="X168" s="922"/>
      <c r="Y168" s="922"/>
      <c r="Z168" s="922"/>
      <c r="AA168" s="922"/>
      <c r="AB168" s="922"/>
      <c r="AC168" s="922"/>
      <c r="AD168" s="922"/>
      <c r="AE168" s="922"/>
      <c r="AF168" s="922"/>
      <c r="AG168" s="922"/>
      <c r="AH168" s="922"/>
      <c r="AI168" s="922"/>
      <c r="AJ168" s="922"/>
      <c r="AK168" s="922"/>
      <c r="AL168" s="922"/>
      <c r="AM168" s="922"/>
      <c r="AN168" s="922"/>
      <c r="AO168" s="922"/>
      <c r="AP168" s="922"/>
      <c r="AQ168" s="922"/>
    </row>
    <row r="169" spans="1:49" ht="19.5" customHeight="1" x14ac:dyDescent="0.25">
      <c r="A169" s="922"/>
      <c r="B169" s="922"/>
      <c r="C169" s="416"/>
      <c r="D169" s="416"/>
      <c r="E169" s="416"/>
      <c r="F169" s="416"/>
      <c r="G169" s="416"/>
      <c r="H169" s="416"/>
      <c r="I169" s="416"/>
      <c r="J169" s="416"/>
      <c r="K169" s="499"/>
      <c r="L169" s="499"/>
      <c r="M169" s="499"/>
      <c r="N169" s="416"/>
      <c r="O169" s="416"/>
      <c r="P169" s="416"/>
      <c r="Q169" s="416"/>
      <c r="R169" s="416"/>
      <c r="S169" s="416"/>
      <c r="T169" s="416"/>
      <c r="U169" s="416"/>
      <c r="V169" s="416"/>
      <c r="W169" s="416"/>
      <c r="X169" s="416"/>
      <c r="Y169" s="416"/>
      <c r="Z169" s="499"/>
      <c r="AA169" s="416"/>
      <c r="AB169" s="416"/>
      <c r="AC169" s="416"/>
      <c r="AD169" s="922"/>
      <c r="AE169" s="922"/>
      <c r="AF169" s="922"/>
      <c r="AG169" s="922"/>
      <c r="AH169" s="922"/>
      <c r="AI169" s="922"/>
      <c r="AJ169" s="922"/>
      <c r="AK169" s="922"/>
      <c r="AL169" s="922"/>
      <c r="AM169" s="922"/>
      <c r="AN169" s="922"/>
      <c r="AO169" s="922"/>
      <c r="AP169" s="922"/>
      <c r="AQ169" s="922"/>
    </row>
    <row r="170" spans="1:49" ht="59.25" customHeight="1" x14ac:dyDescent="0.25">
      <c r="A170" s="919"/>
      <c r="B170" s="919"/>
      <c r="C170" s="416"/>
      <c r="D170" s="416"/>
      <c r="E170" s="416"/>
      <c r="F170" s="416"/>
      <c r="G170" s="416"/>
      <c r="H170" s="416"/>
      <c r="I170" s="416"/>
      <c r="J170" s="416"/>
      <c r="K170" s="499"/>
      <c r="L170" s="499"/>
      <c r="M170" s="499"/>
      <c r="N170" s="417"/>
      <c r="O170" s="417"/>
      <c r="P170" s="417"/>
      <c r="Q170" s="417"/>
      <c r="R170" s="417"/>
      <c r="S170" s="417"/>
      <c r="T170" s="417"/>
      <c r="U170" s="417"/>
      <c r="V170" s="417"/>
      <c r="W170" s="417"/>
      <c r="X170" s="416"/>
      <c r="Y170" s="416"/>
      <c r="Z170" s="499"/>
      <c r="AA170" s="417"/>
      <c r="AB170" s="417"/>
      <c r="AC170" s="417"/>
      <c r="AD170" s="920"/>
      <c r="AE170" s="920"/>
      <c r="AF170" s="920"/>
      <c r="AG170" s="920"/>
      <c r="AH170" s="920"/>
      <c r="AI170" s="920"/>
      <c r="AJ170" s="920"/>
      <c r="AK170" s="920"/>
      <c r="AL170" s="920"/>
      <c r="AM170" s="920"/>
      <c r="AN170" s="920"/>
      <c r="AO170" s="920"/>
      <c r="AP170" s="920"/>
      <c r="AQ170" s="920"/>
    </row>
    <row r="171" spans="1:49" ht="42.75" customHeight="1" x14ac:dyDescent="0.25">
      <c r="A171" s="919"/>
      <c r="B171" s="919"/>
      <c r="C171" s="416"/>
      <c r="D171" s="416"/>
      <c r="E171" s="416"/>
      <c r="F171" s="416"/>
      <c r="G171" s="416"/>
      <c r="H171" s="416"/>
      <c r="I171" s="416"/>
      <c r="J171" s="416"/>
      <c r="K171" s="499"/>
      <c r="L171" s="499"/>
      <c r="M171" s="499"/>
      <c r="N171" s="417"/>
      <c r="O171" s="417"/>
      <c r="P171" s="417"/>
      <c r="Q171" s="417"/>
      <c r="R171" s="417"/>
      <c r="S171" s="417"/>
      <c r="T171" s="417"/>
      <c r="U171" s="417"/>
      <c r="V171" s="417"/>
      <c r="W171" s="417"/>
      <c r="X171" s="416"/>
      <c r="Y171" s="416"/>
      <c r="Z171" s="499"/>
      <c r="AA171" s="417"/>
      <c r="AB171" s="417"/>
      <c r="AC171" s="417"/>
      <c r="AD171" s="920"/>
      <c r="AE171" s="920"/>
      <c r="AF171" s="920"/>
      <c r="AG171" s="920"/>
      <c r="AH171" s="920"/>
      <c r="AI171" s="920"/>
      <c r="AJ171" s="920"/>
      <c r="AK171" s="920"/>
      <c r="AL171" s="920"/>
      <c r="AM171" s="920"/>
      <c r="AN171" s="920"/>
      <c r="AO171" s="920"/>
      <c r="AP171" s="920"/>
      <c r="AQ171" s="920"/>
    </row>
    <row r="172" spans="1:49" ht="27" customHeight="1" x14ac:dyDescent="0.25">
      <c r="A172" s="919"/>
      <c r="B172" s="919"/>
      <c r="C172" s="416"/>
      <c r="D172" s="416"/>
      <c r="E172" s="416"/>
      <c r="F172" s="416"/>
      <c r="G172" s="416"/>
      <c r="H172" s="416"/>
      <c r="I172" s="416"/>
      <c r="J172" s="416"/>
      <c r="K172" s="499"/>
      <c r="L172" s="499"/>
      <c r="M172" s="499"/>
      <c r="N172" s="417"/>
      <c r="O172" s="417"/>
      <c r="P172" s="417"/>
      <c r="Q172" s="417"/>
      <c r="R172" s="417"/>
      <c r="S172" s="417"/>
      <c r="T172" s="417"/>
      <c r="U172" s="417"/>
      <c r="V172" s="417"/>
      <c r="W172" s="417"/>
      <c r="X172" s="416"/>
      <c r="Y172" s="416"/>
      <c r="Z172" s="499"/>
      <c r="AA172" s="417"/>
      <c r="AB172" s="417"/>
      <c r="AC172" s="417"/>
      <c r="AD172" s="920"/>
      <c r="AE172" s="920"/>
      <c r="AF172" s="920"/>
      <c r="AG172" s="920"/>
      <c r="AH172" s="920"/>
      <c r="AI172" s="920"/>
      <c r="AJ172" s="920"/>
      <c r="AK172" s="920"/>
      <c r="AL172" s="920"/>
      <c r="AM172" s="920"/>
      <c r="AN172" s="920"/>
      <c r="AO172" s="920"/>
      <c r="AP172" s="920"/>
      <c r="AQ172" s="920"/>
    </row>
    <row r="173" spans="1:49" ht="40.700000000000003" customHeight="1" x14ac:dyDescent="0.25">
      <c r="A173" s="919"/>
      <c r="B173" s="919"/>
      <c r="C173" s="416"/>
      <c r="D173" s="416"/>
      <c r="E173" s="416"/>
      <c r="F173" s="416"/>
      <c r="G173" s="416"/>
      <c r="H173" s="416"/>
      <c r="I173" s="416"/>
      <c r="J173" s="416"/>
      <c r="K173" s="499"/>
      <c r="L173" s="499"/>
      <c r="M173" s="499"/>
      <c r="N173" s="417"/>
      <c r="O173" s="417"/>
      <c r="P173" s="417"/>
      <c r="Q173" s="417"/>
      <c r="R173" s="417"/>
      <c r="S173" s="417"/>
      <c r="T173" s="417"/>
      <c r="U173" s="417"/>
      <c r="V173" s="417"/>
      <c r="W173" s="417"/>
      <c r="X173" s="416"/>
      <c r="Y173" s="416"/>
      <c r="Z173" s="499"/>
      <c r="AA173" s="417"/>
      <c r="AB173" s="417"/>
      <c r="AC173" s="417"/>
      <c r="AD173" s="920"/>
      <c r="AE173" s="920"/>
      <c r="AF173" s="920"/>
      <c r="AG173" s="920"/>
      <c r="AH173" s="920"/>
      <c r="AI173" s="920"/>
      <c r="AJ173" s="920"/>
      <c r="AK173" s="920"/>
      <c r="AL173" s="920"/>
      <c r="AM173" s="920"/>
      <c r="AN173" s="920"/>
      <c r="AO173" s="920"/>
      <c r="AP173" s="920"/>
      <c r="AQ173" s="920"/>
    </row>
    <row r="174" spans="1:49" ht="35.450000000000003" customHeight="1" x14ac:dyDescent="0.25">
      <c r="A174" s="919"/>
      <c r="B174" s="919"/>
      <c r="C174" s="416"/>
      <c r="D174" s="416"/>
      <c r="E174" s="416"/>
      <c r="F174" s="416"/>
      <c r="G174" s="416"/>
      <c r="H174" s="416"/>
      <c r="I174" s="416"/>
      <c r="J174" s="416"/>
      <c r="K174" s="499"/>
      <c r="L174" s="499"/>
      <c r="M174" s="499"/>
      <c r="N174" s="417"/>
      <c r="O174" s="417"/>
      <c r="P174" s="417"/>
      <c r="Q174" s="417"/>
      <c r="R174" s="417"/>
      <c r="S174" s="417"/>
      <c r="T174" s="417"/>
      <c r="U174" s="417"/>
      <c r="V174" s="417"/>
      <c r="W174" s="417"/>
      <c r="X174" s="416"/>
      <c r="Y174" s="416"/>
      <c r="Z174" s="499"/>
      <c r="AA174" s="417"/>
      <c r="AB174" s="417"/>
      <c r="AC174" s="417"/>
      <c r="AD174" s="920"/>
      <c r="AE174" s="920"/>
      <c r="AF174" s="920"/>
      <c r="AG174" s="920"/>
      <c r="AH174" s="920"/>
      <c r="AI174" s="920"/>
      <c r="AJ174" s="920"/>
      <c r="AK174" s="920"/>
      <c r="AL174" s="920"/>
      <c r="AM174" s="920"/>
      <c r="AN174" s="920"/>
      <c r="AO174" s="920"/>
      <c r="AP174" s="920"/>
      <c r="AQ174" s="920"/>
    </row>
    <row r="175" spans="1:49" ht="41.25" customHeight="1" x14ac:dyDescent="0.25">
      <c r="A175" s="919"/>
      <c r="B175" s="919"/>
      <c r="C175" s="416"/>
      <c r="D175" s="416"/>
      <c r="E175" s="416"/>
      <c r="F175" s="416"/>
      <c r="G175" s="416"/>
      <c r="H175" s="416"/>
      <c r="I175" s="416"/>
      <c r="J175" s="416"/>
      <c r="K175" s="499"/>
      <c r="L175" s="499"/>
      <c r="M175" s="499"/>
      <c r="N175" s="417"/>
      <c r="O175" s="417"/>
      <c r="P175" s="417"/>
      <c r="Q175" s="417"/>
      <c r="R175" s="417"/>
      <c r="S175" s="417"/>
      <c r="T175" s="417"/>
      <c r="U175" s="417"/>
      <c r="V175" s="417"/>
      <c r="W175" s="417"/>
      <c r="X175" s="416"/>
      <c r="Y175" s="416"/>
      <c r="Z175" s="499"/>
      <c r="AA175" s="417"/>
      <c r="AB175" s="417"/>
      <c r="AC175" s="417"/>
      <c r="AD175" s="920"/>
      <c r="AE175" s="920"/>
      <c r="AF175" s="920"/>
      <c r="AG175" s="920"/>
      <c r="AH175" s="920"/>
      <c r="AI175" s="920"/>
      <c r="AJ175" s="920"/>
      <c r="AK175" s="920"/>
      <c r="AL175" s="920"/>
      <c r="AM175" s="920"/>
      <c r="AN175" s="920"/>
      <c r="AO175" s="920"/>
      <c r="AP175" s="920"/>
      <c r="AQ175" s="920"/>
    </row>
    <row r="176" spans="1:49" ht="39.200000000000003" customHeight="1" x14ac:dyDescent="0.25">
      <c r="A176" s="919"/>
      <c r="B176" s="919"/>
      <c r="C176" s="416"/>
      <c r="D176" s="416"/>
      <c r="E176" s="416"/>
      <c r="F176" s="416"/>
      <c r="G176" s="416"/>
      <c r="H176" s="416"/>
      <c r="I176" s="416"/>
      <c r="J176" s="416"/>
      <c r="K176" s="499"/>
      <c r="L176" s="499"/>
      <c r="M176" s="499"/>
      <c r="N176" s="417"/>
      <c r="O176" s="417"/>
      <c r="P176" s="417"/>
      <c r="Q176" s="417"/>
      <c r="R176" s="417"/>
      <c r="S176" s="417"/>
      <c r="T176" s="417"/>
      <c r="U176" s="417"/>
      <c r="V176" s="417"/>
      <c r="W176" s="417"/>
      <c r="X176" s="416"/>
      <c r="Y176" s="416"/>
      <c r="Z176" s="499"/>
      <c r="AA176" s="417"/>
      <c r="AB176" s="417"/>
      <c r="AC176" s="417"/>
      <c r="AD176" s="920"/>
      <c r="AE176" s="920"/>
      <c r="AF176" s="920"/>
      <c r="AG176" s="920"/>
      <c r="AH176" s="920"/>
      <c r="AI176" s="920"/>
      <c r="AJ176" s="920"/>
      <c r="AK176" s="920"/>
      <c r="AL176" s="920"/>
      <c r="AM176" s="920"/>
      <c r="AN176" s="920"/>
      <c r="AO176" s="920"/>
      <c r="AP176" s="920"/>
      <c r="AQ176" s="920"/>
    </row>
    <row r="177" spans="1:43" ht="81" customHeight="1" x14ac:dyDescent="0.25">
      <c r="A177" s="919"/>
      <c r="B177" s="919"/>
      <c r="C177" s="416"/>
      <c r="D177" s="416"/>
      <c r="E177" s="416"/>
      <c r="F177" s="416"/>
      <c r="G177" s="416"/>
      <c r="H177" s="416"/>
      <c r="I177" s="416"/>
      <c r="J177" s="416"/>
      <c r="K177" s="499"/>
      <c r="L177" s="499"/>
      <c r="M177" s="499"/>
      <c r="N177" s="417"/>
      <c r="O177" s="417"/>
      <c r="P177" s="417"/>
      <c r="Q177" s="417"/>
      <c r="R177" s="417"/>
      <c r="S177" s="417"/>
      <c r="T177" s="417"/>
      <c r="U177" s="417"/>
      <c r="V177" s="417"/>
      <c r="W177" s="417"/>
      <c r="X177" s="416"/>
      <c r="Y177" s="416"/>
      <c r="Z177" s="499"/>
      <c r="AA177" s="417"/>
      <c r="AB177" s="417"/>
      <c r="AC177" s="417"/>
      <c r="AD177" s="920"/>
      <c r="AE177" s="920"/>
      <c r="AF177" s="920"/>
      <c r="AG177" s="920"/>
      <c r="AH177" s="920"/>
      <c r="AI177" s="920"/>
      <c r="AJ177" s="920"/>
      <c r="AK177" s="920"/>
      <c r="AL177" s="920"/>
      <c r="AM177" s="920"/>
      <c r="AN177" s="920"/>
      <c r="AO177" s="920"/>
      <c r="AP177" s="920"/>
      <c r="AQ177" s="920"/>
    </row>
    <row r="178" spans="1:43" ht="33.75" customHeight="1" x14ac:dyDescent="0.25">
      <c r="A178" s="919"/>
      <c r="B178" s="919"/>
      <c r="C178" s="416"/>
      <c r="D178" s="416"/>
      <c r="E178" s="416"/>
      <c r="F178" s="416"/>
      <c r="G178" s="416"/>
      <c r="H178" s="416"/>
      <c r="I178" s="416"/>
      <c r="J178" s="416"/>
      <c r="K178" s="499"/>
      <c r="L178" s="499"/>
      <c r="M178" s="499"/>
      <c r="N178" s="417"/>
      <c r="O178" s="417"/>
      <c r="P178" s="417"/>
      <c r="Q178" s="417"/>
      <c r="R178" s="417"/>
      <c r="S178" s="417"/>
      <c r="T178" s="417"/>
      <c r="U178" s="417"/>
      <c r="V178" s="417"/>
      <c r="W178" s="417"/>
      <c r="X178" s="416"/>
      <c r="Y178" s="416"/>
      <c r="Z178" s="499"/>
      <c r="AA178" s="417"/>
      <c r="AB178" s="417"/>
      <c r="AC178" s="417"/>
      <c r="AD178" s="920"/>
      <c r="AE178" s="920"/>
      <c r="AF178" s="920"/>
      <c r="AG178" s="920"/>
      <c r="AH178" s="920"/>
      <c r="AI178" s="920"/>
      <c r="AJ178" s="920"/>
      <c r="AK178" s="920"/>
      <c r="AL178" s="920"/>
      <c r="AM178" s="920"/>
      <c r="AN178" s="920"/>
      <c r="AO178" s="920"/>
      <c r="AP178" s="920"/>
      <c r="AQ178" s="920"/>
    </row>
    <row r="179" spans="1:43" ht="147.75" customHeight="1" x14ac:dyDescent="0.25">
      <c r="A179" s="919"/>
      <c r="B179" s="919"/>
      <c r="C179" s="416"/>
      <c r="D179" s="416"/>
      <c r="E179" s="416"/>
      <c r="F179" s="416"/>
      <c r="G179" s="416"/>
      <c r="H179" s="416"/>
      <c r="I179" s="416"/>
      <c r="J179" s="416"/>
      <c r="K179" s="499"/>
      <c r="L179" s="499"/>
      <c r="M179" s="499"/>
      <c r="N179" s="417"/>
      <c r="O179" s="417"/>
      <c r="P179" s="417"/>
      <c r="Q179" s="417"/>
      <c r="R179" s="417"/>
      <c r="S179" s="417"/>
      <c r="T179" s="417"/>
      <c r="U179" s="417"/>
      <c r="V179" s="417"/>
      <c r="W179" s="417"/>
      <c r="X179" s="416"/>
      <c r="Y179" s="416"/>
      <c r="Z179" s="499"/>
      <c r="AA179" s="417"/>
      <c r="AB179" s="417"/>
      <c r="AC179" s="417"/>
      <c r="AD179" s="920"/>
      <c r="AE179" s="920"/>
      <c r="AF179" s="920"/>
      <c r="AG179" s="920"/>
      <c r="AH179" s="920"/>
      <c r="AI179" s="920"/>
      <c r="AJ179" s="920"/>
      <c r="AK179" s="920"/>
      <c r="AL179" s="920"/>
      <c r="AM179" s="920"/>
      <c r="AN179" s="920"/>
      <c r="AO179" s="920"/>
      <c r="AP179" s="920"/>
      <c r="AQ179" s="920"/>
    </row>
    <row r="180" spans="1:43" ht="36" customHeight="1" x14ac:dyDescent="0.25">
      <c r="A180" s="919"/>
      <c r="B180" s="919"/>
      <c r="C180" s="416"/>
      <c r="D180" s="416"/>
      <c r="E180" s="416"/>
      <c r="F180" s="416"/>
      <c r="G180" s="416"/>
      <c r="H180" s="416"/>
      <c r="I180" s="416"/>
      <c r="J180" s="416"/>
      <c r="K180" s="499"/>
      <c r="L180" s="499"/>
      <c r="M180" s="499"/>
      <c r="N180" s="417"/>
      <c r="O180" s="417"/>
      <c r="P180" s="417"/>
      <c r="Q180" s="417"/>
      <c r="R180" s="417"/>
      <c r="S180" s="417"/>
      <c r="T180" s="417"/>
      <c r="U180" s="417"/>
      <c r="V180" s="417"/>
      <c r="W180" s="417"/>
      <c r="X180" s="416"/>
      <c r="Y180" s="416"/>
      <c r="Z180" s="499"/>
      <c r="AA180" s="417"/>
      <c r="AB180" s="417"/>
      <c r="AC180" s="417"/>
      <c r="AD180" s="920"/>
      <c r="AE180" s="920"/>
      <c r="AF180" s="920"/>
      <c r="AG180" s="920"/>
      <c r="AH180" s="920"/>
      <c r="AI180" s="920"/>
      <c r="AJ180" s="920"/>
      <c r="AK180" s="920"/>
      <c r="AL180" s="920"/>
      <c r="AM180" s="920"/>
      <c r="AN180" s="920"/>
      <c r="AO180" s="920"/>
      <c r="AP180" s="920"/>
      <c r="AQ180" s="920"/>
    </row>
    <row r="181" spans="1:43" ht="82.5" customHeight="1" x14ac:dyDescent="0.25">
      <c r="A181" s="919"/>
      <c r="B181" s="919"/>
      <c r="C181" s="416"/>
      <c r="D181" s="416"/>
      <c r="E181" s="416"/>
      <c r="F181" s="416"/>
      <c r="G181" s="416"/>
      <c r="H181" s="416"/>
      <c r="I181" s="416"/>
      <c r="J181" s="416"/>
      <c r="K181" s="499"/>
      <c r="L181" s="499"/>
      <c r="M181" s="499"/>
      <c r="N181" s="417"/>
      <c r="O181" s="417"/>
      <c r="P181" s="417"/>
      <c r="Q181" s="417"/>
      <c r="R181" s="417"/>
      <c r="S181" s="417"/>
      <c r="T181" s="417"/>
      <c r="U181" s="417"/>
      <c r="V181" s="417"/>
      <c r="W181" s="417"/>
      <c r="X181" s="416"/>
      <c r="Y181" s="416"/>
      <c r="Z181" s="499"/>
      <c r="AA181" s="417"/>
      <c r="AB181" s="417"/>
      <c r="AC181" s="417"/>
      <c r="AD181" s="920"/>
      <c r="AE181" s="920"/>
      <c r="AF181" s="920"/>
      <c r="AG181" s="920"/>
      <c r="AH181" s="920"/>
      <c r="AI181" s="920"/>
      <c r="AJ181" s="920"/>
      <c r="AK181" s="920"/>
      <c r="AL181" s="920"/>
      <c r="AM181" s="920"/>
      <c r="AN181" s="920"/>
      <c r="AO181" s="920"/>
      <c r="AP181" s="920"/>
      <c r="AQ181" s="920"/>
    </row>
    <row r="182" spans="1:43" ht="22.7" customHeight="1" x14ac:dyDescent="0.25">
      <c r="A182" s="919"/>
      <c r="B182" s="921"/>
      <c r="C182" s="921"/>
      <c r="D182" s="921"/>
      <c r="E182" s="921"/>
      <c r="F182" s="921"/>
      <c r="G182" s="921"/>
      <c r="H182" s="921"/>
      <c r="I182" s="921"/>
      <c r="J182" s="921"/>
      <c r="K182" s="921"/>
      <c r="L182" s="921"/>
      <c r="M182" s="921"/>
      <c r="N182" s="921"/>
      <c r="O182" s="921"/>
      <c r="P182" s="921"/>
      <c r="Q182" s="921"/>
      <c r="R182" s="921"/>
      <c r="S182" s="921"/>
      <c r="T182" s="921"/>
      <c r="U182" s="921"/>
      <c r="V182" s="921"/>
      <c r="W182" s="921"/>
      <c r="X182" s="921"/>
      <c r="Y182" s="921"/>
      <c r="Z182" s="921"/>
      <c r="AA182" s="921"/>
      <c r="AB182" s="921"/>
      <c r="AC182" s="921"/>
      <c r="AD182" s="921"/>
      <c r="AE182" s="921"/>
      <c r="AF182" s="921"/>
      <c r="AG182" s="921"/>
      <c r="AH182" s="921"/>
      <c r="AI182" s="921"/>
      <c r="AJ182" s="921"/>
      <c r="AK182" s="921"/>
      <c r="AL182" s="921"/>
      <c r="AM182" s="921"/>
      <c r="AN182" s="921"/>
      <c r="AO182" s="921"/>
      <c r="AP182" s="921"/>
      <c r="AQ182" s="921"/>
    </row>
  </sheetData>
  <mergeCells count="80">
    <mergeCell ref="AW5:AW7"/>
    <mergeCell ref="AA6:AA7"/>
    <mergeCell ref="AV5:AV7"/>
    <mergeCell ref="AB6:AB7"/>
    <mergeCell ref="AE6:AE7"/>
    <mergeCell ref="AF6:AF7"/>
    <mergeCell ref="AK6:AK7"/>
    <mergeCell ref="AL6:AL7"/>
    <mergeCell ref="AM6:AM7"/>
    <mergeCell ref="AN6:AN7"/>
    <mergeCell ref="A2:AU2"/>
    <mergeCell ref="A3:AU3"/>
    <mergeCell ref="A1:AU1"/>
    <mergeCell ref="C6:E6"/>
    <mergeCell ref="B6:B7"/>
    <mergeCell ref="A5:A7"/>
    <mergeCell ref="K6:M6"/>
    <mergeCell ref="X6:X7"/>
    <mergeCell ref="Y6:Y7"/>
    <mergeCell ref="Z6:Z7"/>
    <mergeCell ref="AC6:AC7"/>
    <mergeCell ref="AD6:AD7"/>
    <mergeCell ref="AT5:AT7"/>
    <mergeCell ref="AU5:AU7"/>
    <mergeCell ref="AR5:AR7"/>
    <mergeCell ref="AS5:AS7"/>
    <mergeCell ref="AD169:AQ169"/>
    <mergeCell ref="A170:B170"/>
    <mergeCell ref="AD170:AQ170"/>
    <mergeCell ref="B5:AC5"/>
    <mergeCell ref="AD5:AQ5"/>
    <mergeCell ref="A165:B165"/>
    <mergeCell ref="A166:AR166"/>
    <mergeCell ref="A168:AQ168"/>
    <mergeCell ref="A169:B169"/>
    <mergeCell ref="A87:A88"/>
    <mergeCell ref="B79:B80"/>
    <mergeCell ref="A167:B167"/>
    <mergeCell ref="F6:H6"/>
    <mergeCell ref="AO6:AO7"/>
    <mergeCell ref="AP6:AP7"/>
    <mergeCell ref="AQ6:AQ7"/>
    <mergeCell ref="A179:B179"/>
    <mergeCell ref="AD179:AQ179"/>
    <mergeCell ref="A174:B174"/>
    <mergeCell ref="AD174:AQ174"/>
    <mergeCell ref="A175:B175"/>
    <mergeCell ref="AD175:AQ175"/>
    <mergeCell ref="A176:B176"/>
    <mergeCell ref="AD176:AQ176"/>
    <mergeCell ref="A177:B177"/>
    <mergeCell ref="AD177:AQ177"/>
    <mergeCell ref="A178:B178"/>
    <mergeCell ref="AD178:AQ178"/>
    <mergeCell ref="A171:B171"/>
    <mergeCell ref="AD171:AQ171"/>
    <mergeCell ref="A172:B172"/>
    <mergeCell ref="AD172:AQ172"/>
    <mergeCell ref="A173:B173"/>
    <mergeCell ref="AD173:AQ173"/>
    <mergeCell ref="A180:B180"/>
    <mergeCell ref="AD180:AQ180"/>
    <mergeCell ref="A181:B181"/>
    <mergeCell ref="AD181:AQ181"/>
    <mergeCell ref="A182:AQ182"/>
    <mergeCell ref="I6:J6"/>
    <mergeCell ref="N6:N7"/>
    <mergeCell ref="O6:O7"/>
    <mergeCell ref="P6:P7"/>
    <mergeCell ref="Q6:Q7"/>
    <mergeCell ref="R6:R7"/>
    <mergeCell ref="S6:S7"/>
    <mergeCell ref="T6:T7"/>
    <mergeCell ref="U6:U7"/>
    <mergeCell ref="V6:V7"/>
    <mergeCell ref="W6:W7"/>
    <mergeCell ref="AG6:AG7"/>
    <mergeCell ref="AH6:AH7"/>
    <mergeCell ref="AI6:AI7"/>
    <mergeCell ref="AJ6:AJ7"/>
  </mergeCells>
  <printOptions horizontalCentered="1"/>
  <pageMargins left="0" right="0" top="0.59055118110236227" bottom="0.59055118110236227" header="0" footer="0"/>
  <pageSetup paperSize="5" scale="60" orientation="landscape" r:id="rId1"/>
  <headerFooter alignWithMargins="0"/>
  <ignoredErrors>
    <ignoredError sqref="AF165 AF127 AF75 AF57 AF21:AF22 AF8:AF9 AF95 AF101 AF119 AF133:AF134 Z83 Z131 K31 K34 K41 K61 K67 K112 K116 K124 K141 K83:M83 K70:M70 K52 L8:L9 L31:M31 K106:M106 L101 L131 M141 Z34 L167 M124 Z153 L133:L134 AH8:AH9 AH16:AI16 AH22 AH52" formula="1"/>
    <ignoredError sqref="AD134:AE134 Y11 Y12:Z13 Y59:Y60 Z10 Z23 Y33 Y17:Y19 Z76 Z102 Y113:Y115 Z128 L58:M58 M135 L23 M96 L120 Y154:Y156 Y157:Y161 Y35 Y37 Y38:Y39 Y48 Y15 Y25:Y27 Y30 Y53:Y55 Y84:Y87 Y117:Y118" formulaRange="1"/>
    <ignoredError sqref="K120 K107:M109 K110:M111 L103:M103 K104:L104 K123:L123 M35" evalError="1"/>
    <ignoredError sqref="K49 M131 K131" evalError="1" formula="1"/>
    <ignoredError sqref="Z31 Z112 L16:M16 L41:M41 L112:M112 L124 K153 K148:L148 K16 L10 L67:M67 L116:M116 L153:M153 M148 L141 Y36" formula="1"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Hoja1!$A$1:$A$10</xm:f>
          </x14:formula1>
          <xm:sqref>AS8:AS164</xm:sqref>
        </x14:dataValidation>
        <x14:dataValidation type="list" allowBlank="1" showInputMessage="1" showErrorMessage="1">
          <x14:formula1>
            <xm:f>Hoja1!$B$1:$B$28</xm:f>
          </x14:formula1>
          <xm:sqref>AT8:AT164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9"/>
  <sheetViews>
    <sheetView showGridLines="0" zoomScale="98" zoomScaleNormal="98" workbookViewId="0">
      <selection activeCell="P18" sqref="P18"/>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3.7109375" customWidth="1"/>
    <col min="6" max="6" width="12.425781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449</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8" t="s">
        <v>1192</v>
      </c>
      <c r="C8" s="209">
        <v>2022</v>
      </c>
      <c r="D8" s="214">
        <f>IF(E10="NO APLICA","NO APLICA",IF(E11="NO SE REPORTA","SIN INFORMACION",+G20))</f>
        <v>1</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30.6"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1913</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6" customHeight="1" thickTop="1" thickBot="1" x14ac:dyDescent="0.3">
      <c r="B15" s="1123" t="s">
        <v>2</v>
      </c>
      <c r="C15" s="87"/>
      <c r="D15" s="1036" t="s">
        <v>336</v>
      </c>
      <c r="E15" s="1037"/>
      <c r="F15" s="1037"/>
      <c r="G15" s="1037"/>
      <c r="H15" s="1037"/>
      <c r="I15" s="1037"/>
      <c r="J15" s="1037"/>
      <c r="K15" s="1037"/>
      <c r="L15" s="1133"/>
    </row>
    <row r="16" spans="1:21" ht="36.75" thickBot="1" x14ac:dyDescent="0.3">
      <c r="B16" s="1124"/>
      <c r="C16" s="92"/>
      <c r="D16" s="42" t="s">
        <v>463</v>
      </c>
      <c r="E16" s="42" t="s">
        <v>464</v>
      </c>
      <c r="F16" s="42" t="s">
        <v>465</v>
      </c>
      <c r="G16" s="42" t="s">
        <v>466</v>
      </c>
      <c r="H16" s="5"/>
      <c r="I16" s="5"/>
      <c r="J16" s="5"/>
      <c r="K16" s="5"/>
      <c r="L16" s="13"/>
    </row>
    <row r="17" spans="2:12" ht="36.75" thickBot="1" x14ac:dyDescent="0.3">
      <c r="B17" s="1124"/>
      <c r="C17" s="92"/>
      <c r="D17" s="40" t="s">
        <v>467</v>
      </c>
      <c r="E17" s="204">
        <v>1</v>
      </c>
      <c r="F17" s="204"/>
      <c r="G17" s="142">
        <f>+E17+F17</f>
        <v>1</v>
      </c>
      <c r="H17" s="5"/>
      <c r="I17" s="5"/>
      <c r="J17" s="5"/>
      <c r="K17" s="5"/>
      <c r="L17" s="13"/>
    </row>
    <row r="18" spans="2:12" ht="24.75" thickBot="1" x14ac:dyDescent="0.3">
      <c r="B18" s="1124"/>
      <c r="C18" s="92"/>
      <c r="D18" s="40" t="s">
        <v>468</v>
      </c>
      <c r="E18" s="204">
        <v>1</v>
      </c>
      <c r="F18" s="204"/>
      <c r="G18" s="142">
        <f>+E18+F18</f>
        <v>1</v>
      </c>
      <c r="H18" s="5"/>
      <c r="I18" s="5"/>
      <c r="J18" s="5"/>
      <c r="K18" s="5"/>
      <c r="L18" s="13"/>
    </row>
    <row r="19" spans="2:12" ht="24.75" thickBot="1" x14ac:dyDescent="0.3">
      <c r="B19" s="1124"/>
      <c r="C19" s="92"/>
      <c r="D19" s="40" t="s">
        <v>469</v>
      </c>
      <c r="E19" s="204">
        <v>1</v>
      </c>
      <c r="F19" s="204"/>
      <c r="G19" s="142">
        <f>+E19+F19</f>
        <v>1</v>
      </c>
      <c r="H19" s="5"/>
      <c r="I19" s="5"/>
      <c r="J19" s="5"/>
      <c r="K19" s="5"/>
      <c r="L19" s="13"/>
    </row>
    <row r="20" spans="2:12" ht="24.75" thickBot="1" x14ac:dyDescent="0.3">
      <c r="B20" s="1124"/>
      <c r="C20" s="92"/>
      <c r="D20" s="40" t="s">
        <v>449</v>
      </c>
      <c r="E20" s="183">
        <f>IFERROR(E19/E18,"N.A.")</f>
        <v>1</v>
      </c>
      <c r="F20" s="183" t="str">
        <f>IFERROR(F19/F18,"N.A.")</f>
        <v>N.A.</v>
      </c>
      <c r="G20" s="135">
        <f>IFERROR(G19/G18,0)</f>
        <v>1</v>
      </c>
      <c r="H20" s="5"/>
      <c r="I20" s="5"/>
      <c r="J20" s="5"/>
      <c r="K20" s="5"/>
      <c r="L20" s="13"/>
    </row>
    <row r="21" spans="2:12" x14ac:dyDescent="0.25">
      <c r="B21" s="1124"/>
      <c r="C21" s="90"/>
      <c r="D21" s="1027"/>
      <c r="E21" s="1028"/>
      <c r="F21" s="1028"/>
      <c r="G21" s="1028"/>
      <c r="H21" s="1028"/>
      <c r="I21" s="1028"/>
      <c r="J21" s="1028"/>
      <c r="K21" s="1028"/>
      <c r="L21" s="1118"/>
    </row>
    <row r="22" spans="2:12" x14ac:dyDescent="0.25">
      <c r="B22" s="1124"/>
      <c r="C22" s="90"/>
      <c r="D22" s="1039" t="s">
        <v>246</v>
      </c>
      <c r="E22" s="1040"/>
      <c r="F22" s="1040"/>
      <c r="G22" s="1040"/>
      <c r="H22" s="1040"/>
      <c r="I22" s="1040"/>
      <c r="J22" s="1040"/>
      <c r="K22" s="1040"/>
      <c r="L22" s="1119"/>
    </row>
    <row r="23" spans="2:12" x14ac:dyDescent="0.25">
      <c r="B23" s="1124"/>
      <c r="C23" s="90"/>
      <c r="D23" s="1039" t="s">
        <v>470</v>
      </c>
      <c r="E23" s="1040"/>
      <c r="F23" s="1040"/>
      <c r="G23" s="1040"/>
      <c r="H23" s="1040"/>
      <c r="I23" s="1040"/>
      <c r="J23" s="1040"/>
      <c r="K23" s="1040"/>
      <c r="L23" s="1119"/>
    </row>
    <row r="24" spans="2:12" ht="15.75" thickBot="1" x14ac:dyDescent="0.3">
      <c r="B24" s="1124"/>
      <c r="C24" s="90"/>
      <c r="D24" s="1051" t="s">
        <v>340</v>
      </c>
      <c r="E24" s="1052"/>
      <c r="F24" s="1052"/>
      <c r="G24" s="1052"/>
      <c r="H24" s="1052"/>
      <c r="I24" s="1052"/>
      <c r="J24" s="1052"/>
      <c r="K24" s="1052"/>
      <c r="L24" s="1120"/>
    </row>
    <row r="25" spans="2:12" ht="19.7" customHeight="1" x14ac:dyDescent="0.25">
      <c r="B25" s="216"/>
      <c r="C25" s="1131" t="s">
        <v>19</v>
      </c>
      <c r="D25" s="1121" t="s">
        <v>270</v>
      </c>
      <c r="E25" s="1121" t="s">
        <v>471</v>
      </c>
      <c r="F25" s="1121" t="s">
        <v>382</v>
      </c>
      <c r="G25" s="1121" t="s">
        <v>472</v>
      </c>
      <c r="H25" s="199" t="s">
        <v>473</v>
      </c>
      <c r="I25" s="199" t="s">
        <v>475</v>
      </c>
      <c r="J25" s="1121" t="s">
        <v>274</v>
      </c>
      <c r="K25" s="1121" t="s">
        <v>275</v>
      </c>
      <c r="L25" s="1121" t="s">
        <v>55</v>
      </c>
    </row>
    <row r="26" spans="2:12" ht="19.149999999999999" customHeight="1" thickBot="1" x14ac:dyDescent="0.3">
      <c r="B26" s="216"/>
      <c r="C26" s="1132"/>
      <c r="D26" s="1122"/>
      <c r="E26" s="1122"/>
      <c r="F26" s="1122"/>
      <c r="G26" s="1122"/>
      <c r="H26" s="200" t="s">
        <v>474</v>
      </c>
      <c r="I26" s="200" t="s">
        <v>476</v>
      </c>
      <c r="J26" s="1122"/>
      <c r="K26" s="1122"/>
      <c r="L26" s="1122"/>
    </row>
    <row r="27" spans="2:12" ht="88.9" customHeight="1" thickBot="1" x14ac:dyDescent="0.3">
      <c r="B27" s="216"/>
      <c r="C27" s="89"/>
      <c r="D27" s="517" t="s">
        <v>1914</v>
      </c>
      <c r="E27" s="29" t="s">
        <v>2052</v>
      </c>
      <c r="F27" s="517" t="s">
        <v>1823</v>
      </c>
      <c r="G27" s="518" t="s">
        <v>1824</v>
      </c>
      <c r="H27" s="205">
        <v>240000000</v>
      </c>
      <c r="I27" s="205">
        <v>240000000</v>
      </c>
      <c r="J27" s="205">
        <v>90000000</v>
      </c>
      <c r="K27" s="205">
        <v>90000000</v>
      </c>
      <c r="L27" s="205"/>
    </row>
    <row r="28" spans="2:12" ht="15.75" thickBot="1" x14ac:dyDescent="0.3">
      <c r="B28" s="216"/>
      <c r="C28" s="89"/>
      <c r="D28" s="517"/>
      <c r="E28" s="29"/>
      <c r="F28" s="517"/>
      <c r="G28" s="518"/>
      <c r="H28" s="205"/>
      <c r="I28" s="205"/>
      <c r="J28" s="205"/>
      <c r="K28" s="205"/>
      <c r="L28" s="205"/>
    </row>
    <row r="29" spans="2:12" ht="15.75" thickBot="1" x14ac:dyDescent="0.3">
      <c r="B29" s="216"/>
      <c r="C29" s="89"/>
      <c r="D29" s="30"/>
      <c r="E29" s="30"/>
      <c r="F29" s="30"/>
      <c r="G29" s="30"/>
      <c r="H29" s="205"/>
      <c r="I29" s="205"/>
      <c r="J29" s="205"/>
      <c r="K29" s="205"/>
      <c r="L29" s="205"/>
    </row>
    <row r="30" spans="2:12" ht="15.75" thickBot="1" x14ac:dyDescent="0.3">
      <c r="B30" s="216"/>
      <c r="C30" s="89"/>
      <c r="D30" s="30"/>
      <c r="E30" s="29"/>
      <c r="F30" s="30"/>
      <c r="G30" s="30"/>
      <c r="H30" s="205"/>
      <c r="I30" s="205"/>
      <c r="J30" s="205"/>
      <c r="K30" s="205"/>
      <c r="L30" s="205"/>
    </row>
    <row r="31" spans="2:12" ht="15.75" thickBot="1" x14ac:dyDescent="0.3">
      <c r="B31" s="216"/>
      <c r="C31" s="89"/>
      <c r="D31" s="30"/>
      <c r="E31" s="30"/>
      <c r="F31" s="30"/>
      <c r="G31" s="30"/>
      <c r="H31" s="205"/>
      <c r="I31" s="205"/>
      <c r="J31" s="205"/>
      <c r="K31" s="205"/>
      <c r="L31" s="205"/>
    </row>
    <row r="32" spans="2:12" ht="15.75" thickBot="1" x14ac:dyDescent="0.3">
      <c r="B32" s="216"/>
      <c r="C32" s="89"/>
      <c r="D32" s="30"/>
      <c r="E32" s="30"/>
      <c r="F32" s="30"/>
      <c r="G32" s="30"/>
      <c r="H32" s="205"/>
      <c r="I32" s="205"/>
      <c r="J32" s="205"/>
      <c r="K32" s="205"/>
      <c r="L32" s="205"/>
    </row>
    <row r="33" spans="2:12" ht="15.75" thickBot="1" x14ac:dyDescent="0.3">
      <c r="B33" s="216"/>
      <c r="C33" s="89"/>
      <c r="D33" s="30"/>
      <c r="E33" s="30"/>
      <c r="F33" s="30"/>
      <c r="G33" s="30"/>
      <c r="H33" s="205"/>
      <c r="I33" s="205"/>
      <c r="J33" s="205"/>
      <c r="K33" s="205"/>
      <c r="L33" s="205"/>
    </row>
    <row r="34" spans="2:12" ht="15.75" thickBot="1" x14ac:dyDescent="0.3">
      <c r="B34" s="216"/>
      <c r="C34" s="89"/>
      <c r="D34" s="30"/>
      <c r="E34" s="30"/>
      <c r="F34" s="30"/>
      <c r="G34" s="30"/>
      <c r="H34" s="205"/>
      <c r="I34" s="205"/>
      <c r="J34" s="205"/>
      <c r="K34" s="205"/>
      <c r="L34" s="205"/>
    </row>
    <row r="35" spans="2:12" ht="15.75" thickBot="1" x14ac:dyDescent="0.3">
      <c r="B35" s="216"/>
      <c r="C35" s="89"/>
      <c r="D35" s="30"/>
      <c r="E35" s="30"/>
      <c r="F35" s="30"/>
      <c r="G35" s="30"/>
      <c r="H35" s="205"/>
      <c r="I35" s="205"/>
      <c r="J35" s="205"/>
      <c r="K35" s="205"/>
      <c r="L35" s="205"/>
    </row>
    <row r="36" spans="2:12" ht="15.75" thickBot="1" x14ac:dyDescent="0.3">
      <c r="B36" s="216"/>
      <c r="C36" s="89"/>
      <c r="D36" s="30"/>
      <c r="E36" s="30"/>
      <c r="F36" s="30"/>
      <c r="G36" s="30"/>
      <c r="H36" s="205"/>
      <c r="I36" s="205"/>
      <c r="J36" s="205"/>
      <c r="K36" s="205"/>
      <c r="L36" s="205"/>
    </row>
    <row r="37" spans="2:12" ht="15.75" thickBot="1" x14ac:dyDescent="0.3">
      <c r="B37" s="216"/>
      <c r="C37" s="89"/>
      <c r="D37" s="30"/>
      <c r="E37" s="30"/>
      <c r="F37" s="30"/>
      <c r="G37" s="30"/>
      <c r="H37" s="205"/>
      <c r="I37" s="205"/>
      <c r="J37" s="205"/>
      <c r="K37" s="205"/>
      <c r="L37" s="205"/>
    </row>
    <row r="38" spans="2:12" ht="15.75" thickBot="1" x14ac:dyDescent="0.3">
      <c r="B38" s="216"/>
      <c r="C38" s="89"/>
      <c r="D38" s="30"/>
      <c r="E38" s="30"/>
      <c r="F38" s="30"/>
      <c r="G38" s="30"/>
      <c r="H38" s="205"/>
      <c r="I38" s="205"/>
      <c r="J38" s="205"/>
      <c r="K38" s="205"/>
      <c r="L38" s="205"/>
    </row>
    <row r="39" spans="2:12" ht="15.75" thickBot="1" x14ac:dyDescent="0.3">
      <c r="B39" s="216"/>
      <c r="C39" s="89"/>
      <c r="D39" s="30"/>
      <c r="E39" s="30"/>
      <c r="F39" s="30"/>
      <c r="G39" s="30"/>
      <c r="H39" s="205"/>
      <c r="I39" s="205"/>
      <c r="J39" s="205"/>
      <c r="K39" s="205"/>
      <c r="L39" s="205"/>
    </row>
    <row r="40" spans="2:12" ht="15.75" thickBot="1" x14ac:dyDescent="0.3">
      <c r="B40" s="46"/>
      <c r="C40" s="108"/>
      <c r="D40" s="39" t="s">
        <v>151</v>
      </c>
      <c r="E40" s="26"/>
      <c r="F40" s="26"/>
      <c r="G40" s="26"/>
      <c r="H40" s="133">
        <f>SUM(H27:H39)</f>
        <v>240000000</v>
      </c>
      <c r="I40" s="133">
        <f>SUM(I27:I39)</f>
        <v>240000000</v>
      </c>
      <c r="J40" s="133">
        <f>SUM(J27:J39)</f>
        <v>90000000</v>
      </c>
      <c r="K40" s="133">
        <f>SUM(K27:K39)</f>
        <v>90000000</v>
      </c>
      <c r="L40" s="12"/>
    </row>
    <row r="41" spans="2:12" ht="24" customHeight="1" thickBot="1" x14ac:dyDescent="0.3">
      <c r="B41" s="71" t="s">
        <v>34</v>
      </c>
      <c r="C41" s="105"/>
      <c r="D41" s="1048" t="s">
        <v>477</v>
      </c>
      <c r="E41" s="1049"/>
      <c r="F41" s="1049"/>
      <c r="G41" s="1049"/>
      <c r="H41" s="1049"/>
      <c r="I41" s="1049"/>
      <c r="J41" s="1049"/>
      <c r="K41" s="1049"/>
      <c r="L41" s="1117"/>
    </row>
    <row r="42" spans="2:12" ht="24" customHeight="1" thickBot="1" x14ac:dyDescent="0.3">
      <c r="B42" s="71" t="s">
        <v>36</v>
      </c>
      <c r="C42" s="105"/>
      <c r="D42" s="1048" t="s">
        <v>346</v>
      </c>
      <c r="E42" s="1049"/>
      <c r="F42" s="1049"/>
      <c r="G42" s="1049"/>
      <c r="H42" s="1049"/>
      <c r="I42" s="1049"/>
      <c r="J42" s="1049"/>
      <c r="K42" s="1049"/>
      <c r="L42" s="1117"/>
    </row>
    <row r="43" spans="2:12" ht="15.75" thickBot="1" x14ac:dyDescent="0.3">
      <c r="B43" s="1"/>
      <c r="C43" s="74"/>
      <c r="D43" s="5"/>
      <c r="E43" s="5"/>
      <c r="F43" s="5"/>
      <c r="G43" s="5"/>
      <c r="H43" s="5"/>
      <c r="I43" s="5"/>
      <c r="J43" s="5"/>
      <c r="K43" s="5"/>
    </row>
    <row r="44" spans="2:12" ht="24" customHeight="1" thickBot="1" x14ac:dyDescent="0.3">
      <c r="B44" s="1054" t="s">
        <v>38</v>
      </c>
      <c r="C44" s="1055"/>
      <c r="D44" s="1055"/>
      <c r="E44" s="1056"/>
      <c r="F44" s="5"/>
      <c r="G44" s="5"/>
      <c r="H44" s="5"/>
      <c r="I44" s="5"/>
      <c r="J44" s="5"/>
      <c r="K44" s="5"/>
    </row>
    <row r="45" spans="2:12" ht="15.75" thickBot="1" x14ac:dyDescent="0.3">
      <c r="B45" s="1045">
        <v>1</v>
      </c>
      <c r="C45" s="92"/>
      <c r="D45" s="47" t="s">
        <v>39</v>
      </c>
      <c r="E45" s="30" t="s">
        <v>1771</v>
      </c>
      <c r="F45" s="5"/>
      <c r="G45" s="5"/>
      <c r="H45" s="5"/>
      <c r="I45" s="5"/>
      <c r="J45" s="5"/>
      <c r="K45" s="5"/>
    </row>
    <row r="46" spans="2:12" ht="15.75" thickBot="1" x14ac:dyDescent="0.3">
      <c r="B46" s="1046"/>
      <c r="C46" s="92"/>
      <c r="D46" s="40" t="s">
        <v>40</v>
      </c>
      <c r="E46" s="30" t="s">
        <v>1772</v>
      </c>
      <c r="F46" s="5"/>
      <c r="G46" s="5"/>
      <c r="H46" s="5"/>
      <c r="I46" s="5"/>
      <c r="J46" s="5"/>
      <c r="K46" s="5"/>
    </row>
    <row r="47" spans="2:12" ht="15.75" thickBot="1" x14ac:dyDescent="0.3">
      <c r="B47" s="1046"/>
      <c r="C47" s="92"/>
      <c r="D47" s="40" t="s">
        <v>41</v>
      </c>
      <c r="E47" s="30" t="s">
        <v>1780</v>
      </c>
      <c r="F47" s="5"/>
      <c r="G47" s="5"/>
      <c r="H47" s="5"/>
      <c r="I47" s="5"/>
      <c r="J47" s="5"/>
      <c r="K47" s="5"/>
    </row>
    <row r="48" spans="2:12" ht="15.75" thickBot="1" x14ac:dyDescent="0.3">
      <c r="B48" s="1046"/>
      <c r="C48" s="92"/>
      <c r="D48" s="40" t="s">
        <v>42</v>
      </c>
      <c r="E48" s="30" t="s">
        <v>1494</v>
      </c>
      <c r="F48" s="5"/>
      <c r="G48" s="5"/>
      <c r="H48" s="5"/>
      <c r="I48" s="5"/>
      <c r="J48" s="5"/>
      <c r="K48" s="5"/>
    </row>
    <row r="49" spans="2:11" ht="15.75" thickBot="1" x14ac:dyDescent="0.3">
      <c r="B49" s="1046"/>
      <c r="C49" s="92"/>
      <c r="D49" s="40" t="s">
        <v>43</v>
      </c>
      <c r="E49" s="30" t="s">
        <v>1781</v>
      </c>
      <c r="F49" s="5"/>
      <c r="G49" s="5"/>
      <c r="H49" s="5"/>
      <c r="I49" s="5"/>
      <c r="J49" s="5"/>
      <c r="K49" s="5"/>
    </row>
    <row r="50" spans="2:11" ht="15.75" thickBot="1" x14ac:dyDescent="0.3">
      <c r="B50" s="1046"/>
      <c r="C50" s="92"/>
      <c r="D50" s="40" t="s">
        <v>44</v>
      </c>
      <c r="E50" s="30">
        <v>4380200</v>
      </c>
      <c r="F50" s="5"/>
      <c r="G50" s="5"/>
      <c r="H50" s="5"/>
      <c r="I50" s="5"/>
      <c r="J50" s="5"/>
      <c r="K50" s="5"/>
    </row>
    <row r="51" spans="2:11" ht="15.75" thickBot="1" x14ac:dyDescent="0.3">
      <c r="B51" s="1047"/>
      <c r="C51" s="2"/>
      <c r="D51" s="40" t="s">
        <v>45</v>
      </c>
      <c r="E51" s="30" t="s">
        <v>1773</v>
      </c>
      <c r="F51" s="5"/>
      <c r="G51" s="5"/>
      <c r="H51" s="5"/>
      <c r="I51" s="5"/>
      <c r="J51" s="5"/>
      <c r="K51" s="5"/>
    </row>
    <row r="52" spans="2:11" ht="15.75" thickBot="1" x14ac:dyDescent="0.3">
      <c r="B52" s="1"/>
      <c r="C52" s="74"/>
      <c r="D52" s="5"/>
      <c r="E52" s="5"/>
      <c r="F52" s="5"/>
      <c r="G52" s="5"/>
      <c r="H52" s="5"/>
      <c r="I52" s="5"/>
      <c r="J52" s="5"/>
      <c r="K52" s="5"/>
    </row>
    <row r="53" spans="2:11" ht="15.75" thickBot="1" x14ac:dyDescent="0.3">
      <c r="B53" s="1054" t="s">
        <v>46</v>
      </c>
      <c r="C53" s="1055"/>
      <c r="D53" s="1055"/>
      <c r="E53" s="1056"/>
      <c r="F53" s="5"/>
      <c r="G53" s="5"/>
      <c r="H53" s="5"/>
      <c r="I53" s="5"/>
      <c r="J53" s="5"/>
      <c r="K53" s="5"/>
    </row>
    <row r="54" spans="2:11" ht="15.75" thickBot="1" x14ac:dyDescent="0.3">
      <c r="B54" s="1045">
        <v>1</v>
      </c>
      <c r="C54" s="92"/>
      <c r="D54" s="47" t="s">
        <v>39</v>
      </c>
      <c r="E54" s="217" t="s">
        <v>47</v>
      </c>
      <c r="F54" s="5"/>
      <c r="G54" s="5"/>
      <c r="H54" s="5"/>
      <c r="I54" s="5"/>
      <c r="J54" s="5"/>
      <c r="K54" s="5"/>
    </row>
    <row r="55" spans="2:11" ht="15.75" thickBot="1" x14ac:dyDescent="0.3">
      <c r="B55" s="1046"/>
      <c r="C55" s="92"/>
      <c r="D55" s="40" t="s">
        <v>40</v>
      </c>
      <c r="E55" s="217" t="s">
        <v>48</v>
      </c>
      <c r="F55" s="5"/>
      <c r="G55" s="5"/>
      <c r="H55" s="5"/>
      <c r="I55" s="5"/>
      <c r="J55" s="5"/>
      <c r="K55" s="5"/>
    </row>
    <row r="56" spans="2:11" ht="15.75" thickBot="1" x14ac:dyDescent="0.3">
      <c r="B56" s="1046"/>
      <c r="C56" s="92"/>
      <c r="D56" s="40" t="s">
        <v>41</v>
      </c>
      <c r="E56" s="237"/>
      <c r="F56" s="5"/>
      <c r="G56" s="5"/>
      <c r="H56" s="5"/>
      <c r="I56" s="5"/>
      <c r="J56" s="5"/>
      <c r="K56" s="5"/>
    </row>
    <row r="57" spans="2:11" ht="15.75" thickBot="1" x14ac:dyDescent="0.3">
      <c r="B57" s="1046"/>
      <c r="C57" s="92"/>
      <c r="D57" s="40" t="s">
        <v>42</v>
      </c>
      <c r="E57" s="237"/>
      <c r="F57" s="5"/>
      <c r="G57" s="5"/>
      <c r="H57" s="5"/>
      <c r="I57" s="5"/>
      <c r="J57" s="5"/>
      <c r="K57" s="5"/>
    </row>
    <row r="58" spans="2:11" ht="15.75" thickBot="1" x14ac:dyDescent="0.3">
      <c r="B58" s="1046"/>
      <c r="C58" s="92"/>
      <c r="D58" s="40" t="s">
        <v>43</v>
      </c>
      <c r="E58" s="237"/>
      <c r="F58" s="5"/>
      <c r="G58" s="5"/>
      <c r="H58" s="5"/>
      <c r="I58" s="5"/>
      <c r="J58" s="5"/>
      <c r="K58" s="5"/>
    </row>
    <row r="59" spans="2:11" ht="15.75" thickBot="1" x14ac:dyDescent="0.3">
      <c r="B59" s="1046"/>
      <c r="C59" s="92"/>
      <c r="D59" s="40" t="s">
        <v>44</v>
      </c>
      <c r="E59" s="237"/>
      <c r="F59" s="5"/>
      <c r="G59" s="5"/>
      <c r="H59" s="5"/>
      <c r="I59" s="5"/>
      <c r="J59" s="5"/>
      <c r="K59" s="5"/>
    </row>
    <row r="60" spans="2:11" ht="15.75" thickBot="1" x14ac:dyDescent="0.3">
      <c r="B60" s="1047"/>
      <c r="C60" s="2"/>
      <c r="D60" s="40" t="s">
        <v>45</v>
      </c>
      <c r="E60" s="237"/>
      <c r="F60" s="5"/>
      <c r="G60" s="5"/>
      <c r="H60" s="5"/>
      <c r="I60" s="5"/>
      <c r="J60" s="5"/>
      <c r="K60" s="5"/>
    </row>
    <row r="61" spans="2:11" ht="15.75" thickBot="1" x14ac:dyDescent="0.3">
      <c r="B61" s="1"/>
      <c r="C61" s="74"/>
      <c r="D61" s="5"/>
      <c r="E61" s="5"/>
      <c r="F61" s="5"/>
      <c r="G61" s="5"/>
      <c r="H61" s="5"/>
      <c r="I61" s="5"/>
      <c r="J61" s="5"/>
      <c r="K61" s="5"/>
    </row>
    <row r="62" spans="2:11" ht="15" customHeight="1" thickBot="1" x14ac:dyDescent="0.3">
      <c r="B62" s="120" t="s">
        <v>49</v>
      </c>
      <c r="C62" s="121"/>
      <c r="D62" s="121"/>
      <c r="E62" s="122"/>
      <c r="F62" s="5"/>
      <c r="G62" s="5"/>
      <c r="H62" s="5"/>
      <c r="I62" s="5"/>
      <c r="J62" s="5"/>
      <c r="K62" s="5"/>
    </row>
    <row r="63" spans="2:11" ht="24.75" thickBot="1" x14ac:dyDescent="0.3">
      <c r="B63" s="46" t="s">
        <v>50</v>
      </c>
      <c r="C63" s="40" t="s">
        <v>51</v>
      </c>
      <c r="D63" s="40" t="s">
        <v>52</v>
      </c>
      <c r="E63" s="40" t="s">
        <v>53</v>
      </c>
      <c r="F63" s="5"/>
      <c r="G63" s="5"/>
      <c r="H63" s="5"/>
      <c r="I63" s="5"/>
      <c r="J63" s="5"/>
    </row>
    <row r="64" spans="2:11" ht="72.75" thickBot="1" x14ac:dyDescent="0.3">
      <c r="B64" s="48">
        <v>42401</v>
      </c>
      <c r="C64" s="40">
        <v>0.01</v>
      </c>
      <c r="D64" s="49" t="s">
        <v>478</v>
      </c>
      <c r="E64" s="40"/>
      <c r="F64" s="5"/>
      <c r="G64" s="5"/>
      <c r="H64" s="5"/>
      <c r="I64" s="5"/>
      <c r="J64" s="5"/>
    </row>
    <row r="65" spans="2:11" ht="15.75" thickBot="1" x14ac:dyDescent="0.3">
      <c r="B65" s="1"/>
      <c r="C65" s="74"/>
      <c r="D65" s="5"/>
      <c r="E65" s="5"/>
      <c r="F65" s="5"/>
      <c r="G65" s="5"/>
      <c r="H65" s="5"/>
      <c r="I65" s="5"/>
      <c r="J65" s="5"/>
      <c r="K65" s="5"/>
    </row>
    <row r="66" spans="2:11" x14ac:dyDescent="0.25">
      <c r="B66" s="127" t="s">
        <v>55</v>
      </c>
      <c r="C66" s="94"/>
      <c r="D66" s="5"/>
      <c r="E66" s="5"/>
      <c r="F66" s="5"/>
      <c r="G66" s="5"/>
      <c r="H66" s="5"/>
      <c r="I66" s="5"/>
      <c r="J66" s="5"/>
      <c r="K66" s="5"/>
    </row>
    <row r="67" spans="2:11" ht="14.45" customHeight="1" x14ac:dyDescent="0.25">
      <c r="B67" s="1125" t="s">
        <v>479</v>
      </c>
      <c r="C67" s="1126"/>
      <c r="D67" s="1126"/>
      <c r="E67" s="1126"/>
      <c r="F67" s="1126"/>
      <c r="G67" s="1127"/>
      <c r="H67" s="5"/>
      <c r="I67" s="5"/>
      <c r="J67" s="5"/>
      <c r="K67" s="5"/>
    </row>
    <row r="68" spans="2:11" x14ac:dyDescent="0.25">
      <c r="B68" s="1128"/>
      <c r="C68" s="1129"/>
      <c r="D68" s="1129"/>
      <c r="E68" s="1129"/>
      <c r="F68" s="1129"/>
      <c r="G68" s="1130"/>
      <c r="H68" s="5"/>
      <c r="I68" s="5"/>
      <c r="J68" s="5"/>
      <c r="K68" s="5"/>
    </row>
    <row r="69" spans="2:11" x14ac:dyDescent="0.25">
      <c r="B69" s="159"/>
      <c r="C69" s="160"/>
      <c r="D69" s="160"/>
      <c r="E69" s="160"/>
      <c r="F69" s="160"/>
      <c r="G69" s="161"/>
      <c r="H69" s="5"/>
      <c r="I69" s="5"/>
      <c r="J69" s="5"/>
      <c r="K69" s="5"/>
    </row>
    <row r="70" spans="2:11" ht="15.75" thickBot="1" x14ac:dyDescent="0.3">
      <c r="B70" s="5"/>
      <c r="D70" s="5"/>
      <c r="E70" s="5"/>
      <c r="F70" s="5"/>
      <c r="G70" s="5"/>
      <c r="H70" s="5"/>
      <c r="I70" s="5"/>
      <c r="J70" s="5"/>
      <c r="K70" s="5"/>
    </row>
    <row r="71" spans="2:11" ht="15.75" thickBot="1" x14ac:dyDescent="0.3">
      <c r="B71" s="1054" t="s">
        <v>450</v>
      </c>
      <c r="C71" s="1055"/>
      <c r="D71" s="1056"/>
      <c r="E71" s="5"/>
      <c r="F71" s="5"/>
      <c r="G71" s="5"/>
      <c r="H71" s="5"/>
      <c r="I71" s="5"/>
      <c r="J71" s="5"/>
      <c r="K71" s="5"/>
    </row>
    <row r="72" spans="2:11" ht="108.75" thickBot="1" x14ac:dyDescent="0.3">
      <c r="B72" s="46" t="s">
        <v>57</v>
      </c>
      <c r="C72" s="2"/>
      <c r="D72" s="40" t="s">
        <v>451</v>
      </c>
      <c r="E72" s="5"/>
      <c r="F72" s="5"/>
      <c r="G72" s="5"/>
      <c r="H72" s="5"/>
      <c r="I72" s="5"/>
      <c r="J72" s="5"/>
      <c r="K72" s="5"/>
    </row>
    <row r="73" spans="2:11" x14ac:dyDescent="0.25">
      <c r="B73" s="1045" t="s">
        <v>59</v>
      </c>
      <c r="C73" s="92"/>
      <c r="D73" s="52" t="s">
        <v>60</v>
      </c>
      <c r="E73" s="5"/>
      <c r="F73" s="5"/>
      <c r="G73" s="5"/>
      <c r="H73" s="5"/>
      <c r="I73" s="5"/>
      <c r="J73" s="5"/>
      <c r="K73" s="5"/>
    </row>
    <row r="74" spans="2:11" ht="120" x14ac:dyDescent="0.25">
      <c r="B74" s="1046"/>
      <c r="C74" s="92"/>
      <c r="D74" s="45" t="s">
        <v>452</v>
      </c>
      <c r="E74" s="5"/>
      <c r="F74" s="5"/>
      <c r="G74" s="5"/>
      <c r="H74" s="5"/>
      <c r="I74" s="5"/>
      <c r="J74" s="5"/>
      <c r="K74" s="5"/>
    </row>
    <row r="75" spans="2:11" x14ac:dyDescent="0.25">
      <c r="B75" s="1046"/>
      <c r="C75" s="92"/>
      <c r="D75" s="52" t="s">
        <v>63</v>
      </c>
      <c r="E75" s="5"/>
      <c r="F75" s="5"/>
      <c r="G75" s="5"/>
      <c r="H75" s="5"/>
      <c r="I75" s="5"/>
      <c r="J75" s="5"/>
      <c r="K75" s="5"/>
    </row>
    <row r="76" spans="2:11" x14ac:dyDescent="0.25">
      <c r="B76" s="1046"/>
      <c r="C76" s="92"/>
      <c r="D76" s="45" t="s">
        <v>65</v>
      </c>
      <c r="E76" s="5"/>
      <c r="F76" s="5"/>
      <c r="G76" s="5"/>
      <c r="H76" s="5"/>
      <c r="I76" s="5"/>
      <c r="J76" s="5"/>
      <c r="K76" s="5"/>
    </row>
    <row r="77" spans="2:11" x14ac:dyDescent="0.25">
      <c r="B77" s="1046"/>
      <c r="C77" s="92"/>
      <c r="D77" s="52" t="s">
        <v>288</v>
      </c>
      <c r="E77" s="5"/>
      <c r="F77" s="5"/>
      <c r="G77" s="5"/>
      <c r="H77" s="5"/>
      <c r="I77" s="5"/>
      <c r="J77" s="5"/>
      <c r="K77" s="5"/>
    </row>
    <row r="78" spans="2:11" ht="36.75" thickBot="1" x14ac:dyDescent="0.3">
      <c r="B78" s="1047"/>
      <c r="C78" s="2"/>
      <c r="D78" s="40" t="s">
        <v>453</v>
      </c>
      <c r="E78" s="5"/>
      <c r="F78" s="5"/>
      <c r="G78" s="5"/>
      <c r="H78" s="5"/>
      <c r="I78" s="5"/>
      <c r="J78" s="5"/>
      <c r="K78" s="5"/>
    </row>
    <row r="79" spans="2:11" x14ac:dyDescent="0.25">
      <c r="B79" s="1045" t="s">
        <v>72</v>
      </c>
      <c r="C79" s="97"/>
      <c r="D79" s="1045"/>
      <c r="E79" s="5"/>
      <c r="F79" s="5"/>
      <c r="G79" s="5"/>
      <c r="H79" s="5"/>
      <c r="I79" s="5"/>
      <c r="J79" s="5"/>
      <c r="K79" s="5"/>
    </row>
    <row r="80" spans="2:11" ht="15.75" thickBot="1" x14ac:dyDescent="0.3">
      <c r="B80" s="1047"/>
      <c r="C80" s="98"/>
      <c r="D80" s="1047"/>
      <c r="E80" s="5"/>
      <c r="F80" s="5"/>
      <c r="G80" s="5"/>
      <c r="H80" s="5"/>
      <c r="I80" s="5"/>
      <c r="J80" s="5"/>
      <c r="K80" s="5"/>
    </row>
    <row r="81" spans="2:11" ht="108" x14ac:dyDescent="0.25">
      <c r="B81" s="1045" t="s">
        <v>73</v>
      </c>
      <c r="C81" s="92"/>
      <c r="D81" s="45" t="s">
        <v>356</v>
      </c>
      <c r="E81" s="5"/>
      <c r="F81" s="5"/>
      <c r="G81" s="5"/>
      <c r="H81" s="5"/>
      <c r="I81" s="5"/>
      <c r="J81" s="5"/>
      <c r="K81" s="5"/>
    </row>
    <row r="82" spans="2:11" ht="144" x14ac:dyDescent="0.25">
      <c r="B82" s="1046"/>
      <c r="C82" s="92"/>
      <c r="D82" s="45" t="s">
        <v>357</v>
      </c>
      <c r="E82" s="5"/>
      <c r="F82" s="5"/>
      <c r="G82" s="5"/>
      <c r="H82" s="5"/>
      <c r="I82" s="5"/>
      <c r="J82" s="5"/>
      <c r="K82" s="5"/>
    </row>
    <row r="83" spans="2:11" ht="72" x14ac:dyDescent="0.25">
      <c r="B83" s="1046"/>
      <c r="C83" s="92"/>
      <c r="D83" s="45" t="s">
        <v>359</v>
      </c>
      <c r="E83" s="5"/>
      <c r="F83" s="5"/>
      <c r="G83" s="5"/>
      <c r="H83" s="5"/>
      <c r="I83" s="5"/>
      <c r="J83" s="5"/>
      <c r="K83" s="5"/>
    </row>
    <row r="84" spans="2:11" ht="36" x14ac:dyDescent="0.25">
      <c r="B84" s="1046"/>
      <c r="C84" s="92"/>
      <c r="D84" s="45" t="s">
        <v>454</v>
      </c>
      <c r="E84" s="5"/>
      <c r="F84" s="5"/>
      <c r="G84" s="5"/>
      <c r="H84" s="5"/>
      <c r="I84" s="5"/>
      <c r="J84" s="5"/>
      <c r="K84" s="5"/>
    </row>
    <row r="85" spans="2:11" ht="192.75" thickBot="1" x14ac:dyDescent="0.3">
      <c r="B85" s="1047"/>
      <c r="C85" s="2"/>
      <c r="D85" s="40" t="s">
        <v>455</v>
      </c>
      <c r="E85" s="5"/>
      <c r="F85" s="5"/>
      <c r="G85" s="5"/>
      <c r="H85" s="5"/>
      <c r="I85" s="5"/>
      <c r="J85" s="5"/>
      <c r="K85" s="5"/>
    </row>
    <row r="86" spans="2:11" ht="24" x14ac:dyDescent="0.25">
      <c r="B86" s="1045" t="s">
        <v>90</v>
      </c>
      <c r="C86" s="92"/>
      <c r="D86" s="52" t="s">
        <v>456</v>
      </c>
      <c r="E86" s="5"/>
      <c r="F86" s="5"/>
      <c r="G86" s="5"/>
      <c r="H86" s="5"/>
      <c r="I86" s="5"/>
      <c r="J86" s="5"/>
      <c r="K86" s="5"/>
    </row>
    <row r="87" spans="2:11" x14ac:dyDescent="0.25">
      <c r="B87" s="1046"/>
      <c r="C87" s="92"/>
      <c r="D87" s="16"/>
      <c r="E87" s="5"/>
      <c r="F87" s="5"/>
      <c r="G87" s="5"/>
      <c r="H87" s="5"/>
      <c r="I87" s="5"/>
      <c r="J87" s="5"/>
      <c r="K87" s="5"/>
    </row>
    <row r="88" spans="2:11" x14ac:dyDescent="0.25">
      <c r="B88" s="1046"/>
      <c r="C88" s="92"/>
      <c r="D88" s="45" t="s">
        <v>91</v>
      </c>
      <c r="E88" s="5"/>
      <c r="F88" s="5"/>
      <c r="G88" s="5"/>
      <c r="H88" s="5"/>
      <c r="I88" s="5"/>
      <c r="J88" s="5"/>
      <c r="K88" s="5"/>
    </row>
    <row r="89" spans="2:11" ht="37.5" x14ac:dyDescent="0.25">
      <c r="B89" s="1046"/>
      <c r="C89" s="92"/>
      <c r="D89" s="45" t="s">
        <v>457</v>
      </c>
      <c r="E89" s="5"/>
      <c r="F89" s="5"/>
      <c r="G89" s="5"/>
      <c r="H89" s="5"/>
      <c r="I89" s="5"/>
      <c r="J89" s="5"/>
      <c r="K89" s="5"/>
    </row>
    <row r="90" spans="2:11" ht="37.5" x14ac:dyDescent="0.25">
      <c r="B90" s="1046"/>
      <c r="C90" s="92"/>
      <c r="D90" s="45" t="s">
        <v>458</v>
      </c>
      <c r="E90" s="5"/>
      <c r="F90" s="5"/>
      <c r="G90" s="5"/>
      <c r="H90" s="5"/>
      <c r="I90" s="5"/>
      <c r="J90" s="5"/>
      <c r="K90" s="5"/>
    </row>
    <row r="91" spans="2:11" ht="49.5" x14ac:dyDescent="0.25">
      <c r="B91" s="1046"/>
      <c r="C91" s="92"/>
      <c r="D91" s="45" t="s">
        <v>459</v>
      </c>
      <c r="E91" s="5"/>
      <c r="F91" s="5"/>
      <c r="G91" s="5"/>
      <c r="H91" s="5"/>
      <c r="I91" s="5"/>
      <c r="J91" s="5"/>
      <c r="K91" s="5"/>
    </row>
    <row r="92" spans="2:11" x14ac:dyDescent="0.25">
      <c r="B92" s="1046"/>
      <c r="C92" s="92"/>
      <c r="D92" s="52" t="s">
        <v>246</v>
      </c>
      <c r="E92" s="5"/>
      <c r="F92" s="5"/>
      <c r="G92" s="5"/>
      <c r="H92" s="5"/>
      <c r="I92" s="5"/>
      <c r="J92" s="5"/>
      <c r="K92" s="5"/>
    </row>
    <row r="93" spans="2:11" ht="24" x14ac:dyDescent="0.25">
      <c r="B93" s="1046"/>
      <c r="C93" s="92"/>
      <c r="D93" s="52" t="s">
        <v>460</v>
      </c>
      <c r="E93" s="5"/>
      <c r="F93" s="5"/>
      <c r="G93" s="5"/>
      <c r="H93" s="5"/>
      <c r="I93" s="5"/>
      <c r="J93" s="5"/>
      <c r="K93" s="5"/>
    </row>
    <row r="94" spans="2:11" x14ac:dyDescent="0.25">
      <c r="B94" s="1046"/>
      <c r="C94" s="92"/>
      <c r="D94" s="16"/>
      <c r="E94" s="5"/>
      <c r="F94" s="5"/>
      <c r="G94" s="5"/>
      <c r="H94" s="5"/>
      <c r="I94" s="5"/>
      <c r="J94" s="5"/>
      <c r="K94" s="5"/>
    </row>
    <row r="95" spans="2:11" x14ac:dyDescent="0.25">
      <c r="B95" s="1046"/>
      <c r="C95" s="92"/>
      <c r="D95" s="45" t="s">
        <v>91</v>
      </c>
      <c r="E95" s="5"/>
      <c r="F95" s="5"/>
      <c r="G95" s="5"/>
      <c r="H95" s="5"/>
      <c r="I95" s="5"/>
      <c r="J95" s="5"/>
      <c r="K95" s="5"/>
    </row>
    <row r="96" spans="2:11" ht="61.5" x14ac:dyDescent="0.25">
      <c r="B96" s="1046"/>
      <c r="C96" s="92"/>
      <c r="D96" s="45" t="s">
        <v>461</v>
      </c>
      <c r="E96" s="5"/>
      <c r="F96" s="5"/>
      <c r="G96" s="5"/>
      <c r="H96" s="5"/>
      <c r="I96" s="5"/>
      <c r="J96" s="5"/>
      <c r="K96" s="5"/>
    </row>
    <row r="97" spans="2:11" ht="38.25" thickBot="1" x14ac:dyDescent="0.3">
      <c r="B97" s="1047"/>
      <c r="C97" s="2"/>
      <c r="D97" s="40" t="s">
        <v>462</v>
      </c>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row r="181" spans="2:11" x14ac:dyDescent="0.25">
      <c r="B181" s="5"/>
      <c r="D181" s="5"/>
      <c r="E181" s="5"/>
      <c r="F181" s="5"/>
      <c r="G181" s="5"/>
      <c r="H181" s="5"/>
      <c r="I181" s="5"/>
      <c r="J181" s="5"/>
      <c r="K181" s="5"/>
    </row>
    <row r="182" spans="2:11" x14ac:dyDescent="0.25">
      <c r="B182" s="5"/>
      <c r="D182" s="5"/>
      <c r="E182" s="5"/>
      <c r="F182" s="5"/>
      <c r="G182" s="5"/>
      <c r="H182" s="5"/>
      <c r="I182" s="5"/>
      <c r="J182" s="5"/>
      <c r="K182" s="5"/>
    </row>
    <row r="183" spans="2:11" x14ac:dyDescent="0.25">
      <c r="B183" s="5"/>
      <c r="D183" s="5"/>
      <c r="E183" s="5"/>
      <c r="F183" s="5"/>
      <c r="G183" s="5"/>
      <c r="H183" s="5"/>
      <c r="I183" s="5"/>
      <c r="J183" s="5"/>
      <c r="K183" s="5"/>
    </row>
    <row r="184" spans="2:11" x14ac:dyDescent="0.25">
      <c r="B184" s="5"/>
      <c r="D184" s="5"/>
      <c r="E184" s="5"/>
      <c r="F184" s="5"/>
      <c r="G184" s="5"/>
      <c r="H184" s="5"/>
      <c r="I184" s="5"/>
      <c r="J184" s="5"/>
      <c r="K184" s="5"/>
    </row>
    <row r="185" spans="2:11" x14ac:dyDescent="0.25">
      <c r="B185" s="5"/>
      <c r="D185" s="5"/>
      <c r="E185" s="5"/>
      <c r="F185" s="5"/>
      <c r="G185" s="5"/>
      <c r="H185" s="5"/>
      <c r="I185" s="5"/>
      <c r="J185" s="5"/>
      <c r="K185" s="5"/>
    </row>
    <row r="186" spans="2:11" x14ac:dyDescent="0.25">
      <c r="B186" s="5"/>
      <c r="D186" s="5"/>
      <c r="E186" s="5"/>
      <c r="F186" s="5"/>
      <c r="G186" s="5"/>
      <c r="H186" s="5"/>
      <c r="I186" s="5"/>
      <c r="J186" s="5"/>
      <c r="K186" s="5"/>
    </row>
    <row r="187" spans="2:11" x14ac:dyDescent="0.25">
      <c r="B187" s="5"/>
      <c r="D187" s="5"/>
      <c r="E187" s="5"/>
      <c r="F187" s="5"/>
      <c r="G187" s="5"/>
      <c r="H187" s="5"/>
      <c r="I187" s="5"/>
      <c r="J187" s="5"/>
      <c r="K187" s="5"/>
    </row>
    <row r="188" spans="2:11" x14ac:dyDescent="0.25">
      <c r="B188" s="5"/>
      <c r="D188" s="5"/>
      <c r="E188" s="5"/>
      <c r="F188" s="5"/>
      <c r="G188" s="5"/>
      <c r="H188" s="5"/>
      <c r="I188" s="5"/>
      <c r="J188" s="5"/>
      <c r="K188" s="5"/>
    </row>
    <row r="189" spans="2:11" x14ac:dyDescent="0.25">
      <c r="B189" s="5"/>
      <c r="D189" s="5"/>
      <c r="E189" s="5"/>
      <c r="F189" s="5"/>
      <c r="G189" s="5"/>
      <c r="H189" s="5"/>
      <c r="I189" s="5"/>
      <c r="J189" s="5"/>
      <c r="K189" s="5"/>
    </row>
  </sheetData>
  <mergeCells count="37">
    <mergeCell ref="B10:D10"/>
    <mergeCell ref="F10:S10"/>
    <mergeCell ref="F11:S11"/>
    <mergeCell ref="E12:R12"/>
    <mergeCell ref="E13:R13"/>
    <mergeCell ref="B15:B24"/>
    <mergeCell ref="L25:L26"/>
    <mergeCell ref="B67:G68"/>
    <mergeCell ref="B86:B97"/>
    <mergeCell ref="B71:D71"/>
    <mergeCell ref="B73:B78"/>
    <mergeCell ref="B79:B80"/>
    <mergeCell ref="D79:D80"/>
    <mergeCell ref="B81:B85"/>
    <mergeCell ref="C25:C26"/>
    <mergeCell ref="D25:D26"/>
    <mergeCell ref="E25:E26"/>
    <mergeCell ref="F25:F26"/>
    <mergeCell ref="G25:G26"/>
    <mergeCell ref="K25:K26"/>
    <mergeCell ref="D15:L15"/>
    <mergeCell ref="D21:L21"/>
    <mergeCell ref="D22:L22"/>
    <mergeCell ref="D23:L23"/>
    <mergeCell ref="D24:L24"/>
    <mergeCell ref="J25:J26"/>
    <mergeCell ref="B54:B60"/>
    <mergeCell ref="D41:L41"/>
    <mergeCell ref="D42:L42"/>
    <mergeCell ref="B44:E44"/>
    <mergeCell ref="B45:B51"/>
    <mergeCell ref="B53:E53"/>
    <mergeCell ref="A1:P1"/>
    <mergeCell ref="A2:P2"/>
    <mergeCell ref="A3:P3"/>
    <mergeCell ref="A4:D4"/>
    <mergeCell ref="A5:P5"/>
  </mergeCells>
  <conditionalFormatting sqref="F10">
    <cfRule type="notContainsBlanks" dxfId="82" priority="5">
      <formula>LEN(TRIM(F10))&gt;0</formula>
    </cfRule>
  </conditionalFormatting>
  <conditionalFormatting sqref="F11:S11">
    <cfRule type="expression" dxfId="81" priority="3">
      <formula>E11="NO SE REPORTA"</formula>
    </cfRule>
    <cfRule type="expression" dxfId="80" priority="4">
      <formula>E10="NO APLICA"</formula>
    </cfRule>
  </conditionalFormatting>
  <conditionalFormatting sqref="E12:R12">
    <cfRule type="expression" dxfId="79"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7:F19">
      <formula1>0</formula1>
    </dataValidation>
    <dataValidation type="whole" operator="greaterThanOrEqual" allowBlank="1" showInputMessage="1" showErrorMessage="1" errorTitle="ERROR" error="Valor en PESOS (sin centavos)" sqref="H27:K39">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zoomScale="98" zoomScaleNormal="98" workbookViewId="0">
      <selection activeCell="N63" sqref="N63"/>
    </sheetView>
  </sheetViews>
  <sheetFormatPr baseColWidth="10" defaultRowHeight="15" x14ac:dyDescent="0.25"/>
  <cols>
    <col min="1" max="1" width="1.85546875" customWidth="1"/>
    <col min="2" max="2" width="10.85546875" customWidth="1"/>
    <col min="3" max="3" width="5" style="85" bestFit="1" customWidth="1"/>
    <col min="4" max="4" width="34.85546875" customWidth="1"/>
    <col min="5" max="5" width="12.140625" customWidth="1"/>
    <col min="7" max="7" width="12.85546875" customWidth="1"/>
    <col min="10" max="10" width="12" customWidth="1"/>
    <col min="12" max="12" width="13.425781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480</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8" t="s">
        <v>1192</v>
      </c>
      <c r="C8" s="209">
        <v>2022</v>
      </c>
      <c r="D8" s="214">
        <f>IF(E10="NO APLICA","NO APLICA",IF(E11="NO SE REPORTA","SIN INFORMACION",+Q22))</f>
        <v>1</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1915</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75" thickBot="1" x14ac:dyDescent="0.3">
      <c r="B15" s="1149" t="s">
        <v>2</v>
      </c>
      <c r="C15" s="100"/>
      <c r="D15" s="1048" t="s">
        <v>336</v>
      </c>
      <c r="E15" s="1049"/>
      <c r="F15" s="1049"/>
      <c r="G15" s="1049"/>
      <c r="H15" s="1049"/>
      <c r="I15" s="1049"/>
      <c r="J15" s="1049"/>
      <c r="K15" s="1049"/>
      <c r="L15" s="1143"/>
      <c r="M15" s="1143"/>
      <c r="N15" s="1143"/>
      <c r="O15" s="1143"/>
      <c r="P15" s="1117"/>
      <c r="Q15" s="1134" t="s">
        <v>151</v>
      </c>
    </row>
    <row r="16" spans="1:21" ht="15.75" thickBot="1" x14ac:dyDescent="0.3">
      <c r="B16" s="1150"/>
      <c r="C16" s="106"/>
      <c r="D16" s="1038" t="s">
        <v>150</v>
      </c>
      <c r="E16" s="1139" t="s">
        <v>504</v>
      </c>
      <c r="F16" s="1147"/>
      <c r="G16" s="1147"/>
      <c r="H16" s="1147"/>
      <c r="I16" s="1147"/>
      <c r="J16" s="1148"/>
      <c r="K16" s="1139" t="s">
        <v>505</v>
      </c>
      <c r="L16" s="1140"/>
      <c r="M16" s="1140"/>
      <c r="N16" s="1140"/>
      <c r="O16" s="1140"/>
      <c r="P16" s="1141"/>
      <c r="Q16" s="1135"/>
    </row>
    <row r="17" spans="2:17" ht="15.75" thickBot="1" x14ac:dyDescent="0.3">
      <c r="B17" s="1150"/>
      <c r="C17" s="106"/>
      <c r="D17" s="1029"/>
      <c r="E17" s="1139" t="s">
        <v>506</v>
      </c>
      <c r="F17" s="1147"/>
      <c r="G17" s="1148"/>
      <c r="H17" s="1139" t="s">
        <v>507</v>
      </c>
      <c r="I17" s="1147"/>
      <c r="J17" s="1148"/>
      <c r="K17" s="1139" t="s">
        <v>506</v>
      </c>
      <c r="L17" s="1140"/>
      <c r="M17" s="1141"/>
      <c r="N17" s="1142" t="s">
        <v>507</v>
      </c>
      <c r="O17" s="1140"/>
      <c r="P17" s="1141"/>
      <c r="Q17" s="1135"/>
    </row>
    <row r="18" spans="2:17" ht="15.75" thickBot="1" x14ac:dyDescent="0.3">
      <c r="B18" s="1150"/>
      <c r="C18" s="106"/>
      <c r="D18" s="1146"/>
      <c r="E18" s="40" t="s">
        <v>508</v>
      </c>
      <c r="F18" s="40" t="s">
        <v>509</v>
      </c>
      <c r="G18" s="40" t="s">
        <v>510</v>
      </c>
      <c r="H18" s="40" t="s">
        <v>508</v>
      </c>
      <c r="I18" s="40" t="s">
        <v>509</v>
      </c>
      <c r="J18" s="40" t="s">
        <v>510</v>
      </c>
      <c r="K18" s="40" t="s">
        <v>508</v>
      </c>
      <c r="L18" s="15" t="s">
        <v>509</v>
      </c>
      <c r="M18" s="15" t="s">
        <v>510</v>
      </c>
      <c r="N18" s="15" t="s">
        <v>508</v>
      </c>
      <c r="O18" s="15" t="s">
        <v>509</v>
      </c>
      <c r="P18" s="15" t="s">
        <v>510</v>
      </c>
      <c r="Q18" s="1136"/>
    </row>
    <row r="19" spans="2:17" ht="24.75" thickBot="1" x14ac:dyDescent="0.3">
      <c r="B19" s="1150"/>
      <c r="C19" s="106"/>
      <c r="D19" s="40" t="s">
        <v>511</v>
      </c>
      <c r="E19" s="6">
        <v>0</v>
      </c>
      <c r="F19" s="6">
        <v>12</v>
      </c>
      <c r="G19" s="6">
        <v>5</v>
      </c>
      <c r="H19" s="6">
        <v>9</v>
      </c>
      <c r="I19" s="6">
        <v>19</v>
      </c>
      <c r="J19" s="6">
        <v>16</v>
      </c>
      <c r="K19" s="6">
        <v>0</v>
      </c>
      <c r="L19" s="6">
        <v>0</v>
      </c>
      <c r="M19" s="6">
        <v>0</v>
      </c>
      <c r="N19" s="6">
        <v>3</v>
      </c>
      <c r="O19" s="6">
        <v>3</v>
      </c>
      <c r="P19" s="6">
        <v>2</v>
      </c>
      <c r="Q19" s="302">
        <f>SUM(E19:P19)</f>
        <v>69</v>
      </c>
    </row>
    <row r="20" spans="2:17" ht="36.75" thickBot="1" x14ac:dyDescent="0.3">
      <c r="B20" s="1150"/>
      <c r="C20" s="106"/>
      <c r="D20" s="40" t="s">
        <v>512</v>
      </c>
      <c r="E20" s="6">
        <v>0</v>
      </c>
      <c r="F20" s="6">
        <v>0</v>
      </c>
      <c r="G20" s="6">
        <v>0</v>
      </c>
      <c r="H20" s="6">
        <v>2</v>
      </c>
      <c r="I20" s="6">
        <v>1</v>
      </c>
      <c r="J20" s="6">
        <v>2</v>
      </c>
      <c r="K20" s="6">
        <v>0</v>
      </c>
      <c r="L20" s="6">
        <v>0</v>
      </c>
      <c r="M20" s="6">
        <v>0</v>
      </c>
      <c r="N20" s="6">
        <v>3</v>
      </c>
      <c r="O20" s="6">
        <v>1</v>
      </c>
      <c r="P20" s="6">
        <v>0</v>
      </c>
      <c r="Q20" s="302">
        <f>SUM(E20:P20)</f>
        <v>9</v>
      </c>
    </row>
    <row r="21" spans="2:17" ht="36.75" thickBot="1" x14ac:dyDescent="0.3">
      <c r="B21" s="1150"/>
      <c r="C21" s="106"/>
      <c r="D21" s="40" t="s">
        <v>513</v>
      </c>
      <c r="E21" s="6">
        <v>0</v>
      </c>
      <c r="F21" s="6">
        <v>0</v>
      </c>
      <c r="G21" s="6">
        <v>0</v>
      </c>
      <c r="H21" s="6">
        <v>2</v>
      </c>
      <c r="I21" s="6">
        <v>1</v>
      </c>
      <c r="J21" s="6">
        <v>2</v>
      </c>
      <c r="K21" s="6">
        <v>0</v>
      </c>
      <c r="L21" s="6">
        <v>0</v>
      </c>
      <c r="M21" s="6">
        <v>0</v>
      </c>
      <c r="N21" s="6">
        <v>3</v>
      </c>
      <c r="O21" s="6">
        <v>1</v>
      </c>
      <c r="P21" s="6">
        <v>0</v>
      </c>
      <c r="Q21" s="302">
        <f>SUM(E21:P21)</f>
        <v>9</v>
      </c>
    </row>
    <row r="22" spans="2:17" ht="36.75" thickBot="1" x14ac:dyDescent="0.3">
      <c r="B22" s="1150"/>
      <c r="C22" s="106"/>
      <c r="D22" s="40" t="s">
        <v>480</v>
      </c>
      <c r="E22" s="135" t="str">
        <f>IFERROR(E21/E20,"N.A.")</f>
        <v>N.A.</v>
      </c>
      <c r="F22" s="135" t="str">
        <f t="shared" ref="F22:P22" si="0">IFERROR(F21/F20,"N.A.")</f>
        <v>N.A.</v>
      </c>
      <c r="G22" s="135" t="str">
        <f t="shared" si="0"/>
        <v>N.A.</v>
      </c>
      <c r="H22" s="135">
        <f t="shared" si="0"/>
        <v>1</v>
      </c>
      <c r="I22" s="135">
        <f t="shared" si="0"/>
        <v>1</v>
      </c>
      <c r="J22" s="135">
        <f t="shared" si="0"/>
        <v>1</v>
      </c>
      <c r="K22" s="135" t="str">
        <f t="shared" si="0"/>
        <v>N.A.</v>
      </c>
      <c r="L22" s="135" t="str">
        <f t="shared" si="0"/>
        <v>N.A.</v>
      </c>
      <c r="M22" s="135" t="str">
        <f t="shared" si="0"/>
        <v>N.A.</v>
      </c>
      <c r="N22" s="135">
        <f t="shared" si="0"/>
        <v>1</v>
      </c>
      <c r="O22" s="135">
        <f t="shared" si="0"/>
        <v>1</v>
      </c>
      <c r="P22" s="135" t="str">
        <f t="shared" si="0"/>
        <v>N.A.</v>
      </c>
      <c r="Q22" s="135">
        <f>IFERROR(Q21/Q20,"N.A.")</f>
        <v>1</v>
      </c>
    </row>
    <row r="23" spans="2:17" x14ac:dyDescent="0.25">
      <c r="B23" s="1150"/>
      <c r="C23" s="101"/>
      <c r="D23" s="1036" t="s">
        <v>514</v>
      </c>
      <c r="E23" s="1037"/>
      <c r="F23" s="1037"/>
      <c r="G23" s="1037"/>
      <c r="H23" s="1037"/>
      <c r="I23" s="1037"/>
      <c r="J23" s="1037"/>
      <c r="K23" s="1037"/>
      <c r="L23" s="1152"/>
      <c r="M23" s="1152"/>
      <c r="N23" s="1152"/>
      <c r="O23" s="1152"/>
      <c r="P23" s="1133"/>
    </row>
    <row r="24" spans="2:17" x14ac:dyDescent="0.25">
      <c r="B24" s="1150"/>
      <c r="C24" s="101"/>
      <c r="D24" s="1027" t="s">
        <v>515</v>
      </c>
      <c r="E24" s="1028"/>
      <c r="F24" s="1028"/>
      <c r="G24" s="1028"/>
      <c r="H24" s="1028"/>
      <c r="I24" s="1028"/>
      <c r="J24" s="1028"/>
      <c r="K24" s="1028"/>
      <c r="L24" s="1145"/>
      <c r="M24" s="1145"/>
      <c r="N24" s="1145"/>
      <c r="O24" s="1145"/>
      <c r="P24" s="1118"/>
    </row>
    <row r="25" spans="2:17" x14ac:dyDescent="0.25">
      <c r="B25" s="1150"/>
      <c r="C25" s="101"/>
      <c r="D25" s="1027" t="s">
        <v>516</v>
      </c>
      <c r="E25" s="1028"/>
      <c r="F25" s="1028"/>
      <c r="G25" s="1028"/>
      <c r="H25" s="1028"/>
      <c r="I25" s="1028"/>
      <c r="J25" s="1028"/>
      <c r="K25" s="1028"/>
      <c r="L25" s="1145"/>
      <c r="M25" s="1145"/>
      <c r="N25" s="1145"/>
      <c r="O25" s="1145"/>
      <c r="P25" s="1118"/>
    </row>
    <row r="26" spans="2:17" x14ac:dyDescent="0.25">
      <c r="B26" s="1150"/>
      <c r="C26" s="101"/>
      <c r="D26" s="1039" t="s">
        <v>246</v>
      </c>
      <c r="E26" s="1040"/>
      <c r="F26" s="1040"/>
      <c r="G26" s="1040"/>
      <c r="H26" s="1040"/>
      <c r="I26" s="1040"/>
      <c r="J26" s="1040"/>
      <c r="K26" s="1040"/>
      <c r="L26" s="1144"/>
      <c r="M26" s="1144"/>
      <c r="N26" s="1144"/>
      <c r="O26" s="1144"/>
      <c r="P26" s="1119"/>
    </row>
    <row r="27" spans="2:17" x14ac:dyDescent="0.25">
      <c r="B27" s="1150"/>
      <c r="C27" s="101"/>
      <c r="D27" s="1039" t="s">
        <v>517</v>
      </c>
      <c r="E27" s="1040"/>
      <c r="F27" s="1040"/>
      <c r="G27" s="1040"/>
      <c r="H27" s="1040"/>
      <c r="I27" s="1040"/>
      <c r="J27" s="1040"/>
      <c r="K27" s="1040"/>
      <c r="L27" s="1144"/>
      <c r="M27" s="1144"/>
      <c r="N27" s="1144"/>
      <c r="O27" s="1144"/>
      <c r="P27" s="1119"/>
    </row>
    <row r="28" spans="2:17" ht="15.75" thickBot="1" x14ac:dyDescent="0.3">
      <c r="B28" s="1150"/>
      <c r="C28" s="101"/>
      <c r="D28" s="1027" t="s">
        <v>340</v>
      </c>
      <c r="E28" s="1028"/>
      <c r="F28" s="1028"/>
      <c r="G28" s="1028"/>
      <c r="H28" s="1028"/>
      <c r="I28" s="1028"/>
      <c r="J28" s="1028"/>
      <c r="K28" s="1028"/>
      <c r="L28" s="1145"/>
      <c r="M28" s="1145"/>
      <c r="N28" s="1145"/>
      <c r="O28" s="1145"/>
      <c r="P28" s="1118"/>
    </row>
    <row r="29" spans="2:17" ht="21.2" customHeight="1" x14ac:dyDescent="0.25">
      <c r="B29" s="1150"/>
      <c r="C29" s="1093" t="s">
        <v>19</v>
      </c>
      <c r="D29" s="1134" t="s">
        <v>270</v>
      </c>
      <c r="E29" s="1134" t="s">
        <v>518</v>
      </c>
      <c r="F29" s="1134" t="s">
        <v>519</v>
      </c>
      <c r="G29" s="1134" t="s">
        <v>520</v>
      </c>
      <c r="H29" s="197" t="s">
        <v>473</v>
      </c>
      <c r="I29" s="197" t="s">
        <v>475</v>
      </c>
      <c r="J29" s="1134" t="s">
        <v>274</v>
      </c>
      <c r="K29" s="1134" t="s">
        <v>275</v>
      </c>
      <c r="L29" s="1134" t="s">
        <v>55</v>
      </c>
      <c r="P29" s="13"/>
    </row>
    <row r="30" spans="2:17" ht="15.75" thickBot="1" x14ac:dyDescent="0.3">
      <c r="B30" s="1150"/>
      <c r="C30" s="1094"/>
      <c r="D30" s="1136"/>
      <c r="E30" s="1136"/>
      <c r="F30" s="1136"/>
      <c r="G30" s="1136"/>
      <c r="H30" s="198" t="s">
        <v>474</v>
      </c>
      <c r="I30" s="198" t="s">
        <v>476</v>
      </c>
      <c r="J30" s="1136"/>
      <c r="K30" s="1136"/>
      <c r="L30" s="1136"/>
      <c r="P30" s="13"/>
    </row>
    <row r="31" spans="2:17" ht="409.6" thickBot="1" x14ac:dyDescent="0.3">
      <c r="B31" s="1150"/>
      <c r="C31" s="271">
        <v>1</v>
      </c>
      <c r="D31" s="29" t="s">
        <v>1851</v>
      </c>
      <c r="E31" s="29" t="s">
        <v>1852</v>
      </c>
      <c r="F31" s="29" t="s">
        <v>1853</v>
      </c>
      <c r="G31" s="29" t="s">
        <v>1917</v>
      </c>
      <c r="H31" s="184">
        <v>150013495</v>
      </c>
      <c r="I31" s="184">
        <v>150013495</v>
      </c>
      <c r="J31" s="184">
        <v>150013495</v>
      </c>
      <c r="K31" s="184">
        <v>142870000</v>
      </c>
      <c r="L31" s="534" t="s">
        <v>1918</v>
      </c>
      <c r="P31" s="13"/>
    </row>
    <row r="32" spans="2:17" ht="349.5" thickBot="1" x14ac:dyDescent="0.3">
      <c r="B32" s="1150"/>
      <c r="C32" s="271">
        <v>2</v>
      </c>
      <c r="D32" s="533" t="s">
        <v>2062</v>
      </c>
      <c r="E32" s="533" t="s">
        <v>1823</v>
      </c>
      <c r="F32" s="29" t="s">
        <v>1853</v>
      </c>
      <c r="G32" s="533" t="s">
        <v>1919</v>
      </c>
      <c r="H32" s="184">
        <v>520962500</v>
      </c>
      <c r="I32" s="184">
        <v>520962500</v>
      </c>
      <c r="J32" s="184">
        <v>520962500</v>
      </c>
      <c r="K32" s="184">
        <v>408212500</v>
      </c>
      <c r="L32" s="534" t="s">
        <v>2063</v>
      </c>
      <c r="P32" s="13"/>
    </row>
    <row r="33" spans="2:16" ht="15.75" thickBot="1" x14ac:dyDescent="0.3">
      <c r="B33" s="1150"/>
      <c r="C33" s="271">
        <v>3</v>
      </c>
      <c r="D33" s="29"/>
      <c r="E33" s="29"/>
      <c r="F33" s="29"/>
      <c r="G33" s="29"/>
      <c r="H33" s="184"/>
      <c r="I33" s="184"/>
      <c r="J33" s="184"/>
      <c r="K33" s="184"/>
      <c r="L33" s="184"/>
      <c r="P33" s="13"/>
    </row>
    <row r="34" spans="2:16" ht="15.75" thickBot="1" x14ac:dyDescent="0.3">
      <c r="B34" s="1150"/>
      <c r="C34" s="271">
        <v>4</v>
      </c>
      <c r="D34" s="533"/>
      <c r="E34" s="533"/>
      <c r="F34" s="533"/>
      <c r="G34" s="533"/>
      <c r="H34" s="184"/>
      <c r="I34" s="184"/>
      <c r="J34" s="184"/>
      <c r="K34" s="184"/>
      <c r="L34" s="534"/>
      <c r="P34" s="13"/>
    </row>
    <row r="35" spans="2:16" ht="15.75" thickBot="1" x14ac:dyDescent="0.3">
      <c r="B35" s="1150"/>
      <c r="C35" s="271">
        <v>5</v>
      </c>
      <c r="D35" s="29"/>
      <c r="E35" s="29"/>
      <c r="F35" s="29"/>
      <c r="G35" s="29"/>
      <c r="H35" s="184"/>
      <c r="I35" s="184"/>
      <c r="J35" s="184"/>
      <c r="K35" s="184"/>
      <c r="L35" s="184"/>
      <c r="P35" s="13"/>
    </row>
    <row r="36" spans="2:16" ht="15.75" thickBot="1" x14ac:dyDescent="0.3">
      <c r="B36" s="1150"/>
      <c r="C36" s="271"/>
      <c r="D36" s="29"/>
      <c r="E36" s="29"/>
      <c r="F36" s="29"/>
      <c r="G36" s="29"/>
      <c r="H36" s="184"/>
      <c r="I36" s="184"/>
      <c r="J36" s="184"/>
      <c r="K36" s="184"/>
      <c r="L36" s="184"/>
      <c r="P36" s="13"/>
    </row>
    <row r="37" spans="2:16" ht="15.75" thickBot="1" x14ac:dyDescent="0.3">
      <c r="B37" s="1150"/>
      <c r="C37" s="271"/>
      <c r="D37" s="29"/>
      <c r="E37" s="29"/>
      <c r="F37" s="29"/>
      <c r="G37" s="29"/>
      <c r="H37" s="184"/>
      <c r="I37" s="184"/>
      <c r="J37" s="184"/>
      <c r="K37" s="184"/>
      <c r="L37" s="184"/>
      <c r="P37" s="13"/>
    </row>
    <row r="38" spans="2:16" ht="15.75" thickBot="1" x14ac:dyDescent="0.3">
      <c r="B38" s="1150"/>
      <c r="C38" s="271"/>
      <c r="D38" s="29"/>
      <c r="E38" s="29"/>
      <c r="F38" s="29"/>
      <c r="G38" s="29"/>
      <c r="H38" s="184"/>
      <c r="I38" s="184"/>
      <c r="J38" s="184"/>
      <c r="K38" s="184"/>
      <c r="L38" s="184"/>
      <c r="P38" s="13"/>
    </row>
    <row r="39" spans="2:16" ht="15.75" thickBot="1" x14ac:dyDescent="0.3">
      <c r="B39" s="1150"/>
      <c r="C39" s="271"/>
      <c r="D39" s="29"/>
      <c r="E39" s="29"/>
      <c r="F39" s="29"/>
      <c r="G39" s="29"/>
      <c r="H39" s="184"/>
      <c r="I39" s="184"/>
      <c r="J39" s="184"/>
      <c r="K39" s="184"/>
      <c r="L39" s="184"/>
      <c r="P39" s="13"/>
    </row>
    <row r="40" spans="2:16" ht="15.75" thickBot="1" x14ac:dyDescent="0.3">
      <c r="B40" s="1151"/>
      <c r="C40" s="108"/>
      <c r="D40" s="39" t="s">
        <v>151</v>
      </c>
      <c r="E40" s="26"/>
      <c r="F40" s="26"/>
      <c r="G40" s="26"/>
      <c r="H40" s="133">
        <f>SUM(H31:H39)</f>
        <v>670975995</v>
      </c>
      <c r="I40" s="133">
        <f>SUM(I31:I39)</f>
        <v>670975995</v>
      </c>
      <c r="J40" s="133">
        <f>SUM(J31:J39)</f>
        <v>670975995</v>
      </c>
      <c r="K40" s="133">
        <f>SUM(K31:K39)</f>
        <v>551082500</v>
      </c>
      <c r="L40" s="184"/>
      <c r="M40" s="14"/>
      <c r="N40" s="14"/>
      <c r="P40" s="10"/>
    </row>
    <row r="41" spans="2:16" ht="24" customHeight="1" thickBot="1" x14ac:dyDescent="0.3">
      <c r="B41" s="71" t="s">
        <v>34</v>
      </c>
      <c r="C41" s="105"/>
      <c r="D41" s="1048" t="s">
        <v>521</v>
      </c>
      <c r="E41" s="1049"/>
      <c r="F41" s="1049"/>
      <c r="G41" s="1049"/>
      <c r="H41" s="1049"/>
      <c r="I41" s="1049"/>
      <c r="J41" s="1049"/>
      <c r="K41" s="1049"/>
      <c r="L41" s="1143"/>
      <c r="M41" s="1143"/>
      <c r="N41" s="1143"/>
      <c r="O41" s="1143"/>
      <c r="P41" s="1117"/>
    </row>
    <row r="42" spans="2:16" ht="23.25" thickBot="1" x14ac:dyDescent="0.3">
      <c r="B42" s="71" t="s">
        <v>36</v>
      </c>
      <c r="C42" s="105"/>
      <c r="D42" s="1048" t="s">
        <v>346</v>
      </c>
      <c r="E42" s="1049"/>
      <c r="F42" s="1049"/>
      <c r="G42" s="1049"/>
      <c r="H42" s="1049"/>
      <c r="I42" s="1049"/>
      <c r="J42" s="1049"/>
      <c r="K42" s="1049"/>
      <c r="L42" s="1143"/>
      <c r="M42" s="1143"/>
      <c r="N42" s="1143"/>
      <c r="O42" s="1143"/>
      <c r="P42" s="1117"/>
    </row>
    <row r="43" spans="2:16" ht="15.75" thickBot="1" x14ac:dyDescent="0.3">
      <c r="B43" s="1"/>
      <c r="C43" s="74"/>
      <c r="D43" s="5"/>
      <c r="E43" s="5"/>
      <c r="F43" s="5"/>
      <c r="G43" s="5"/>
      <c r="H43" s="5"/>
      <c r="I43" s="5"/>
      <c r="J43" s="5"/>
      <c r="K43" s="5"/>
    </row>
    <row r="44" spans="2:16" ht="24" customHeight="1" thickBot="1" x14ac:dyDescent="0.3">
      <c r="B44" s="1054" t="s">
        <v>38</v>
      </c>
      <c r="C44" s="1055"/>
      <c r="D44" s="1055"/>
      <c r="E44" s="1056"/>
      <c r="F44" s="5"/>
      <c r="G44" s="5"/>
      <c r="H44" s="5"/>
      <c r="I44" s="5"/>
      <c r="J44" s="5"/>
      <c r="K44" s="5"/>
    </row>
    <row r="45" spans="2:16" ht="15.75" thickBot="1" x14ac:dyDescent="0.3">
      <c r="B45" s="1045">
        <v>1</v>
      </c>
      <c r="C45" s="92"/>
      <c r="D45" s="47" t="s">
        <v>39</v>
      </c>
      <c r="E45" s="30" t="s">
        <v>1771</v>
      </c>
      <c r="F45" s="5"/>
      <c r="G45" s="5"/>
      <c r="H45" s="5"/>
      <c r="I45" s="5"/>
      <c r="J45" s="5"/>
      <c r="K45" s="5"/>
    </row>
    <row r="46" spans="2:16" ht="15.75" thickBot="1" x14ac:dyDescent="0.3">
      <c r="B46" s="1046"/>
      <c r="C46" s="92"/>
      <c r="D46" s="40" t="s">
        <v>40</v>
      </c>
      <c r="E46" s="30" t="s">
        <v>1776</v>
      </c>
      <c r="F46" s="5"/>
      <c r="G46" s="5"/>
      <c r="H46" s="5"/>
      <c r="I46" s="5"/>
      <c r="J46" s="5"/>
      <c r="K46" s="5"/>
    </row>
    <row r="47" spans="2:16" ht="15.75" thickBot="1" x14ac:dyDescent="0.3">
      <c r="B47" s="1046"/>
      <c r="C47" s="92"/>
      <c r="D47" s="40" t="s">
        <v>41</v>
      </c>
      <c r="E47" s="30" t="s">
        <v>1777</v>
      </c>
      <c r="F47" s="5"/>
      <c r="G47" s="5"/>
      <c r="H47" s="5"/>
      <c r="I47" s="5"/>
      <c r="J47" s="5"/>
      <c r="K47" s="5"/>
    </row>
    <row r="48" spans="2:16" ht="15.75" thickBot="1" x14ac:dyDescent="0.3">
      <c r="B48" s="1046"/>
      <c r="C48" s="92"/>
      <c r="D48" s="40" t="s">
        <v>42</v>
      </c>
      <c r="E48" s="30" t="s">
        <v>1778</v>
      </c>
      <c r="F48" s="5"/>
      <c r="G48" s="5"/>
      <c r="H48" s="5"/>
      <c r="I48" s="5"/>
      <c r="J48" s="5"/>
      <c r="K48" s="5"/>
    </row>
    <row r="49" spans="2:11" ht="15.75" thickBot="1" x14ac:dyDescent="0.3">
      <c r="B49" s="1046"/>
      <c r="C49" s="92"/>
      <c r="D49" s="40" t="s">
        <v>43</v>
      </c>
      <c r="E49" s="515" t="s">
        <v>1779</v>
      </c>
      <c r="F49" s="5"/>
      <c r="G49" s="5"/>
      <c r="H49" s="5"/>
      <c r="I49" s="5"/>
      <c r="J49" s="5"/>
      <c r="K49" s="5"/>
    </row>
    <row r="50" spans="2:11" ht="15.75" thickBot="1" x14ac:dyDescent="0.3">
      <c r="B50" s="1046"/>
      <c r="C50" s="92"/>
      <c r="D50" s="40" t="s">
        <v>44</v>
      </c>
      <c r="E50" s="30">
        <v>4380200</v>
      </c>
      <c r="F50" s="5"/>
      <c r="G50" s="5"/>
      <c r="H50" s="5"/>
      <c r="I50" s="5"/>
      <c r="J50" s="5"/>
      <c r="K50" s="5"/>
    </row>
    <row r="51" spans="2:11" ht="15.75" thickBot="1" x14ac:dyDescent="0.3">
      <c r="B51" s="1047"/>
      <c r="C51" s="2"/>
      <c r="D51" s="40" t="s">
        <v>45</v>
      </c>
      <c r="E51" s="30" t="s">
        <v>1773</v>
      </c>
      <c r="F51" s="5"/>
      <c r="G51" s="5"/>
      <c r="H51" s="5"/>
      <c r="I51" s="5"/>
      <c r="J51" s="5"/>
      <c r="K51" s="5"/>
    </row>
    <row r="52" spans="2:11" ht="15.75" thickBot="1" x14ac:dyDescent="0.3">
      <c r="B52" s="1"/>
      <c r="C52" s="74"/>
      <c r="D52" s="5"/>
      <c r="E52" s="5"/>
      <c r="F52" s="5"/>
      <c r="G52" s="5"/>
      <c r="H52" s="5"/>
      <c r="I52" s="5"/>
      <c r="J52" s="5"/>
      <c r="K52" s="5"/>
    </row>
    <row r="53" spans="2:11" ht="15.75" thickBot="1" x14ac:dyDescent="0.3">
      <c r="B53" s="1054" t="s">
        <v>46</v>
      </c>
      <c r="C53" s="1055"/>
      <c r="D53" s="1055"/>
      <c r="E53" s="1056"/>
      <c r="F53" s="5"/>
      <c r="G53" s="5"/>
      <c r="H53" s="5"/>
      <c r="I53" s="5"/>
      <c r="J53" s="5"/>
      <c r="K53" s="5"/>
    </row>
    <row r="54" spans="2:11" ht="15.75" thickBot="1" x14ac:dyDescent="0.3">
      <c r="B54" s="1045">
        <v>1</v>
      </c>
      <c r="C54" s="92"/>
      <c r="D54" s="47" t="s">
        <v>39</v>
      </c>
      <c r="E54" s="217" t="s">
        <v>522</v>
      </c>
      <c r="F54" s="5"/>
      <c r="G54" s="5"/>
      <c r="H54" s="5"/>
      <c r="I54" s="5"/>
      <c r="J54" s="5"/>
      <c r="K54" s="5"/>
    </row>
    <row r="55" spans="2:11" ht="15.75" thickBot="1" x14ac:dyDescent="0.3">
      <c r="B55" s="1046"/>
      <c r="C55" s="92"/>
      <c r="D55" s="40" t="s">
        <v>40</v>
      </c>
      <c r="E55" s="217" t="s">
        <v>48</v>
      </c>
      <c r="F55" s="5"/>
      <c r="G55" s="5"/>
      <c r="H55" s="5"/>
      <c r="I55" s="5"/>
      <c r="J55" s="5"/>
      <c r="K55" s="5"/>
    </row>
    <row r="56" spans="2:11" ht="15.75" thickBot="1" x14ac:dyDescent="0.3">
      <c r="B56" s="1046"/>
      <c r="C56" s="92"/>
      <c r="D56" s="40" t="s">
        <v>41</v>
      </c>
      <c r="E56" s="237"/>
      <c r="F56" s="5"/>
      <c r="G56" s="5"/>
      <c r="H56" s="5"/>
      <c r="I56" s="5"/>
      <c r="J56" s="5"/>
      <c r="K56" s="5"/>
    </row>
    <row r="57" spans="2:11" ht="15.75" thickBot="1" x14ac:dyDescent="0.3">
      <c r="B57" s="1046"/>
      <c r="C57" s="92"/>
      <c r="D57" s="40" t="s">
        <v>42</v>
      </c>
      <c r="E57" s="237"/>
      <c r="F57" s="5"/>
      <c r="G57" s="5"/>
      <c r="H57" s="5"/>
      <c r="I57" s="5"/>
      <c r="J57" s="5"/>
      <c r="K57" s="5"/>
    </row>
    <row r="58" spans="2:11" ht="15.75" thickBot="1" x14ac:dyDescent="0.3">
      <c r="B58" s="1046"/>
      <c r="C58" s="92"/>
      <c r="D58" s="40" t="s">
        <v>43</v>
      </c>
      <c r="E58" s="237"/>
      <c r="F58" s="5"/>
      <c r="G58" s="5"/>
      <c r="H58" s="5"/>
      <c r="I58" s="5"/>
      <c r="J58" s="5"/>
      <c r="K58" s="5"/>
    </row>
    <row r="59" spans="2:11" ht="15.75" thickBot="1" x14ac:dyDescent="0.3">
      <c r="B59" s="1046"/>
      <c r="C59" s="92"/>
      <c r="D59" s="40" t="s">
        <v>44</v>
      </c>
      <c r="E59" s="237"/>
      <c r="F59" s="5"/>
      <c r="G59" s="5"/>
      <c r="H59" s="5"/>
      <c r="I59" s="5"/>
      <c r="J59" s="5"/>
      <c r="K59" s="5"/>
    </row>
    <row r="60" spans="2:11" ht="15.75" thickBot="1" x14ac:dyDescent="0.3">
      <c r="B60" s="1047"/>
      <c r="C60" s="2"/>
      <c r="D60" s="40" t="s">
        <v>45</v>
      </c>
      <c r="E60" s="237"/>
      <c r="F60" s="5"/>
      <c r="G60" s="5"/>
      <c r="H60" s="5"/>
      <c r="I60" s="5"/>
      <c r="J60" s="5"/>
      <c r="K60" s="5"/>
    </row>
    <row r="61" spans="2:11" x14ac:dyDescent="0.25">
      <c r="B61" s="1"/>
      <c r="C61" s="74"/>
      <c r="D61" s="5"/>
      <c r="E61" s="5"/>
      <c r="F61" s="5"/>
      <c r="G61" s="5"/>
      <c r="H61" s="5"/>
      <c r="I61" s="5"/>
      <c r="J61" s="5"/>
      <c r="K61" s="5"/>
    </row>
    <row r="62" spans="2:11" ht="15.75" thickBot="1" x14ac:dyDescent="0.3">
      <c r="B62" s="1"/>
      <c r="C62" s="74"/>
      <c r="D62" s="5"/>
      <c r="E62" s="5"/>
      <c r="F62" s="5"/>
      <c r="G62" s="5"/>
      <c r="H62" s="5"/>
      <c r="I62" s="5"/>
      <c r="J62" s="5"/>
      <c r="K62" s="5"/>
    </row>
    <row r="63" spans="2:11" ht="15.75" thickBot="1" x14ac:dyDescent="0.3">
      <c r="B63" s="1054" t="s">
        <v>49</v>
      </c>
      <c r="C63" s="1055"/>
      <c r="D63" s="1055"/>
      <c r="E63" s="1055"/>
      <c r="F63" s="1056"/>
      <c r="G63" s="5"/>
      <c r="H63" s="5"/>
      <c r="I63" s="5"/>
      <c r="J63" s="5"/>
      <c r="K63" s="5"/>
    </row>
    <row r="64" spans="2:11" ht="24.75" thickBot="1" x14ac:dyDescent="0.3">
      <c r="B64" s="46" t="s">
        <v>50</v>
      </c>
      <c r="C64" s="40" t="s">
        <v>51</v>
      </c>
      <c r="D64" s="40" t="s">
        <v>52</v>
      </c>
      <c r="E64" s="40" t="s">
        <v>53</v>
      </c>
      <c r="F64" s="5"/>
      <c r="G64" s="5"/>
      <c r="H64" s="5"/>
      <c r="I64" s="5"/>
      <c r="J64" s="5"/>
    </row>
    <row r="65" spans="2:11" ht="72.75" thickBot="1" x14ac:dyDescent="0.3">
      <c r="B65" s="48">
        <v>42401</v>
      </c>
      <c r="C65" s="40">
        <v>0.01</v>
      </c>
      <c r="D65" s="49" t="s">
        <v>523</v>
      </c>
      <c r="E65" s="40"/>
      <c r="F65" s="5"/>
      <c r="G65" s="5"/>
      <c r="H65" s="5"/>
      <c r="I65" s="5"/>
      <c r="J65" s="5"/>
    </row>
    <row r="66" spans="2:11" ht="15.75" thickBot="1" x14ac:dyDescent="0.3">
      <c r="B66" s="3"/>
      <c r="C66" s="93"/>
      <c r="D66" s="5"/>
      <c r="E66" s="5"/>
      <c r="F66" s="5"/>
      <c r="G66" s="5"/>
      <c r="H66" s="5"/>
      <c r="I66" s="5"/>
      <c r="J66" s="5"/>
      <c r="K66" s="5"/>
    </row>
    <row r="67" spans="2:11" ht="24.75" thickBot="1" x14ac:dyDescent="0.3">
      <c r="B67" s="4" t="s">
        <v>55</v>
      </c>
      <c r="C67" s="94"/>
      <c r="D67" s="5"/>
      <c r="E67" s="5"/>
      <c r="F67" s="5"/>
      <c r="G67" s="5"/>
      <c r="H67" s="5"/>
      <c r="I67" s="5"/>
      <c r="J67" s="5"/>
      <c r="K67" s="5"/>
    </row>
    <row r="68" spans="2:11" s="130" customFormat="1" x14ac:dyDescent="0.25">
      <c r="B68" s="1110" t="s">
        <v>524</v>
      </c>
      <c r="C68" s="1111"/>
      <c r="D68" s="1111"/>
      <c r="E68" s="1111"/>
      <c r="F68" s="1111"/>
      <c r="G68" s="1111"/>
      <c r="H68" s="129"/>
      <c r="I68" s="129"/>
      <c r="J68" s="129"/>
      <c r="K68" s="129"/>
    </row>
    <row r="69" spans="2:11" s="130" customFormat="1" x14ac:dyDescent="0.25">
      <c r="B69" s="1110" t="s">
        <v>525</v>
      </c>
      <c r="C69" s="1111"/>
      <c r="D69" s="1111"/>
      <c r="E69" s="1111"/>
      <c r="F69" s="1111"/>
      <c r="G69" s="1111"/>
      <c r="H69" s="129"/>
      <c r="I69" s="129"/>
      <c r="J69" s="129"/>
      <c r="K69" s="129"/>
    </row>
    <row r="70" spans="2:11" s="130" customFormat="1" ht="35.65" customHeight="1" x14ac:dyDescent="0.25">
      <c r="B70" s="1137"/>
      <c r="C70" s="1138"/>
      <c r="D70" s="1138"/>
      <c r="E70" s="1138"/>
      <c r="F70" s="1138"/>
      <c r="G70" s="1138"/>
      <c r="H70" s="129"/>
      <c r="I70" s="129"/>
      <c r="J70" s="129"/>
      <c r="K70" s="129"/>
    </row>
    <row r="71" spans="2:11" ht="15.75" thickBot="1" x14ac:dyDescent="0.3">
      <c r="B71" s="1"/>
      <c r="C71" s="74"/>
      <c r="D71" s="5"/>
      <c r="E71" s="5"/>
      <c r="F71" s="5"/>
      <c r="G71" s="5"/>
      <c r="H71" s="5"/>
      <c r="I71" s="5"/>
      <c r="J71" s="5"/>
      <c r="K71" s="5"/>
    </row>
    <row r="72" spans="2:11" ht="24.75" thickBot="1" x14ac:dyDescent="0.3">
      <c r="B72" s="50" t="s">
        <v>56</v>
      </c>
      <c r="C72" s="95"/>
      <c r="D72" s="5"/>
      <c r="E72" s="5"/>
      <c r="F72" s="5"/>
      <c r="G72" s="5"/>
      <c r="H72" s="5"/>
      <c r="I72" s="5"/>
      <c r="J72" s="5"/>
      <c r="K72" s="5"/>
    </row>
    <row r="73" spans="2:11" ht="15.75" thickBot="1" x14ac:dyDescent="0.3">
      <c r="B73" s="37"/>
      <c r="C73" s="86"/>
      <c r="D73" s="5"/>
      <c r="E73" s="5"/>
      <c r="F73" s="5"/>
      <c r="G73" s="5"/>
      <c r="H73" s="5"/>
      <c r="I73" s="5"/>
      <c r="J73" s="5"/>
      <c r="K73" s="5"/>
    </row>
    <row r="74" spans="2:11" ht="84.75" thickBot="1" x14ac:dyDescent="0.3">
      <c r="B74" s="51" t="s">
        <v>57</v>
      </c>
      <c r="C74" s="96"/>
      <c r="D74" s="42" t="s">
        <v>481</v>
      </c>
      <c r="E74" s="5"/>
      <c r="F74" s="5"/>
      <c r="G74" s="5"/>
      <c r="H74" s="5"/>
      <c r="I74" s="5"/>
      <c r="J74" s="5"/>
      <c r="K74" s="5"/>
    </row>
    <row r="75" spans="2:11" x14ac:dyDescent="0.25">
      <c r="B75" s="1045" t="s">
        <v>59</v>
      </c>
      <c r="C75" s="92"/>
      <c r="D75" s="52" t="s">
        <v>60</v>
      </c>
      <c r="E75" s="5"/>
      <c r="F75" s="5"/>
      <c r="G75" s="5"/>
      <c r="H75" s="5"/>
      <c r="I75" s="5"/>
      <c r="J75" s="5"/>
      <c r="K75" s="5"/>
    </row>
    <row r="76" spans="2:11" ht="120" x14ac:dyDescent="0.25">
      <c r="B76" s="1046"/>
      <c r="C76" s="92"/>
      <c r="D76" s="45" t="s">
        <v>482</v>
      </c>
      <c r="E76" s="5"/>
      <c r="F76" s="5"/>
      <c r="G76" s="5"/>
      <c r="H76" s="5"/>
      <c r="I76" s="5"/>
      <c r="J76" s="5"/>
      <c r="K76" s="5"/>
    </row>
    <row r="77" spans="2:11" x14ac:dyDescent="0.25">
      <c r="B77" s="1046"/>
      <c r="C77" s="92"/>
      <c r="D77" s="52" t="s">
        <v>63</v>
      </c>
      <c r="E77" s="5"/>
      <c r="F77" s="5"/>
      <c r="G77" s="5"/>
      <c r="H77" s="5"/>
      <c r="I77" s="5"/>
      <c r="J77" s="5"/>
      <c r="K77" s="5"/>
    </row>
    <row r="78" spans="2:11" ht="72" x14ac:dyDescent="0.25">
      <c r="B78" s="1046"/>
      <c r="C78" s="92"/>
      <c r="D78" s="45" t="s">
        <v>483</v>
      </c>
      <c r="E78" s="5"/>
      <c r="F78" s="5"/>
      <c r="G78" s="5"/>
      <c r="H78" s="5"/>
      <c r="I78" s="5"/>
      <c r="J78" s="5"/>
      <c r="K78" s="5"/>
    </row>
    <row r="79" spans="2:11" x14ac:dyDescent="0.25">
      <c r="B79" s="1046"/>
      <c r="C79" s="92"/>
      <c r="D79" s="45" t="s">
        <v>65</v>
      </c>
      <c r="E79" s="5"/>
      <c r="F79" s="5"/>
      <c r="G79" s="5"/>
      <c r="H79" s="5"/>
      <c r="I79" s="5"/>
      <c r="J79" s="5"/>
      <c r="K79" s="5"/>
    </row>
    <row r="80" spans="2:11" x14ac:dyDescent="0.25">
      <c r="B80" s="1046"/>
      <c r="C80" s="92"/>
      <c r="D80" s="45" t="s">
        <v>484</v>
      </c>
      <c r="E80" s="5"/>
      <c r="F80" s="5"/>
      <c r="G80" s="5"/>
      <c r="H80" s="5"/>
      <c r="I80" s="5"/>
      <c r="J80" s="5"/>
      <c r="K80" s="5"/>
    </row>
    <row r="81" spans="2:11" x14ac:dyDescent="0.25">
      <c r="B81" s="1046"/>
      <c r="C81" s="92"/>
      <c r="D81" s="45" t="s">
        <v>485</v>
      </c>
      <c r="E81" s="5"/>
      <c r="F81" s="5"/>
      <c r="G81" s="5"/>
      <c r="H81" s="5"/>
      <c r="I81" s="5"/>
      <c r="J81" s="5"/>
      <c r="K81" s="5"/>
    </row>
    <row r="82" spans="2:11" x14ac:dyDescent="0.25">
      <c r="B82" s="1046"/>
      <c r="C82" s="92"/>
      <c r="D82" s="52" t="s">
        <v>288</v>
      </c>
      <c r="E82" s="5"/>
      <c r="F82" s="5"/>
      <c r="G82" s="5"/>
      <c r="H82" s="5"/>
      <c r="I82" s="5"/>
      <c r="J82" s="5"/>
      <c r="K82" s="5"/>
    </row>
    <row r="83" spans="2:11" ht="36.75" thickBot="1" x14ac:dyDescent="0.3">
      <c r="B83" s="1047"/>
      <c r="C83" s="2"/>
      <c r="D83" s="40" t="s">
        <v>453</v>
      </c>
      <c r="E83" s="5"/>
      <c r="F83" s="5"/>
      <c r="G83" s="5"/>
      <c r="H83" s="5"/>
      <c r="I83" s="5"/>
      <c r="J83" s="5"/>
      <c r="K83" s="5"/>
    </row>
    <row r="84" spans="2:11" ht="24.75" thickBot="1" x14ac:dyDescent="0.3">
      <c r="B84" s="46" t="s">
        <v>72</v>
      </c>
      <c r="C84" s="2"/>
      <c r="D84" s="40"/>
      <c r="E84" s="5"/>
      <c r="F84" s="5"/>
      <c r="G84" s="5"/>
      <c r="H84" s="5"/>
      <c r="I84" s="5"/>
      <c r="J84" s="5"/>
      <c r="K84" s="5"/>
    </row>
    <row r="85" spans="2:11" ht="48" x14ac:dyDescent="0.25">
      <c r="B85" s="1045" t="s">
        <v>73</v>
      </c>
      <c r="C85" s="92"/>
      <c r="D85" s="45" t="s">
        <v>486</v>
      </c>
      <c r="E85" s="5"/>
      <c r="F85" s="5"/>
      <c r="G85" s="5"/>
      <c r="H85" s="5"/>
      <c r="I85" s="5"/>
      <c r="J85" s="5"/>
      <c r="K85" s="5"/>
    </row>
    <row r="86" spans="2:11" ht="60" x14ac:dyDescent="0.25">
      <c r="B86" s="1046"/>
      <c r="C86" s="92"/>
      <c r="D86" s="25" t="s">
        <v>487</v>
      </c>
      <c r="E86" s="5"/>
      <c r="F86" s="5"/>
      <c r="G86" s="5"/>
      <c r="H86" s="5"/>
      <c r="I86" s="5"/>
      <c r="J86" s="5"/>
      <c r="K86" s="5"/>
    </row>
    <row r="87" spans="2:11" ht="36" x14ac:dyDescent="0.25">
      <c r="B87" s="1046"/>
      <c r="C87" s="92"/>
      <c r="D87" s="25" t="s">
        <v>488</v>
      </c>
      <c r="E87" s="5"/>
      <c r="F87" s="5"/>
      <c r="G87" s="5"/>
      <c r="H87" s="5"/>
      <c r="I87" s="5"/>
      <c r="J87" s="5"/>
      <c r="K87" s="5"/>
    </row>
    <row r="88" spans="2:11" ht="48" x14ac:dyDescent="0.25">
      <c r="B88" s="1046"/>
      <c r="C88" s="92"/>
      <c r="D88" s="25" t="s">
        <v>489</v>
      </c>
      <c r="E88" s="5"/>
      <c r="F88" s="5"/>
      <c r="G88" s="5"/>
      <c r="H88" s="5"/>
      <c r="I88" s="5"/>
      <c r="J88" s="5"/>
      <c r="K88" s="5"/>
    </row>
    <row r="89" spans="2:11" ht="36" x14ac:dyDescent="0.25">
      <c r="B89" s="1046"/>
      <c r="C89" s="92"/>
      <c r="D89" s="25" t="s">
        <v>490</v>
      </c>
      <c r="E89" s="5"/>
      <c r="F89" s="5"/>
      <c r="G89" s="5"/>
      <c r="H89" s="5"/>
      <c r="I89" s="5"/>
      <c r="J89" s="5"/>
      <c r="K89" s="5"/>
    </row>
    <row r="90" spans="2:11" ht="96" x14ac:dyDescent="0.25">
      <c r="B90" s="1046"/>
      <c r="C90" s="92"/>
      <c r="D90" s="45" t="s">
        <v>491</v>
      </c>
      <c r="E90" s="5"/>
      <c r="F90" s="5"/>
      <c r="G90" s="5"/>
      <c r="H90" s="5"/>
      <c r="I90" s="5"/>
      <c r="J90" s="5"/>
      <c r="K90" s="5"/>
    </row>
    <row r="91" spans="2:11" ht="48" x14ac:dyDescent="0.25">
      <c r="B91" s="1046"/>
      <c r="C91" s="92"/>
      <c r="D91" s="45" t="s">
        <v>492</v>
      </c>
      <c r="E91" s="5"/>
      <c r="F91" s="5"/>
      <c r="G91" s="5"/>
      <c r="H91" s="5"/>
      <c r="I91" s="5"/>
      <c r="J91" s="5"/>
      <c r="K91" s="5"/>
    </row>
    <row r="92" spans="2:11" ht="36" x14ac:dyDescent="0.25">
      <c r="B92" s="1046"/>
      <c r="C92" s="92"/>
      <c r="D92" s="45" t="s">
        <v>493</v>
      </c>
      <c r="E92" s="5"/>
      <c r="F92" s="5"/>
      <c r="G92" s="5"/>
      <c r="H92" s="5"/>
      <c r="I92" s="5"/>
      <c r="J92" s="5"/>
      <c r="K92" s="5"/>
    </row>
    <row r="93" spans="2:11" ht="36" x14ac:dyDescent="0.25">
      <c r="B93" s="1046"/>
      <c r="C93" s="92"/>
      <c r="D93" s="45" t="s">
        <v>494</v>
      </c>
      <c r="E93" s="5"/>
      <c r="F93" s="5"/>
      <c r="G93" s="5"/>
      <c r="H93" s="5"/>
      <c r="I93" s="5"/>
      <c r="J93" s="5"/>
      <c r="K93" s="5"/>
    </row>
    <row r="94" spans="2:11" ht="96.75" thickBot="1" x14ac:dyDescent="0.3">
      <c r="B94" s="1047"/>
      <c r="C94" s="2"/>
      <c r="D94" s="40" t="s">
        <v>495</v>
      </c>
      <c r="E94" s="5"/>
      <c r="F94" s="5"/>
      <c r="G94" s="5"/>
      <c r="H94" s="5"/>
      <c r="I94" s="5"/>
      <c r="J94" s="5"/>
      <c r="K94" s="5"/>
    </row>
    <row r="95" spans="2:11" ht="24" x14ac:dyDescent="0.25">
      <c r="B95" s="1045" t="s">
        <v>90</v>
      </c>
      <c r="C95" s="92"/>
      <c r="D95" s="52" t="s">
        <v>496</v>
      </c>
      <c r="E95" s="5"/>
      <c r="F95" s="5"/>
      <c r="G95" s="5"/>
      <c r="H95" s="5"/>
      <c r="I95" s="5"/>
      <c r="J95" s="5"/>
      <c r="K95" s="5"/>
    </row>
    <row r="96" spans="2:11" x14ac:dyDescent="0.25">
      <c r="B96" s="1046"/>
      <c r="C96" s="92"/>
      <c r="D96" s="45" t="s">
        <v>497</v>
      </c>
      <c r="E96" s="5"/>
      <c r="F96" s="5"/>
      <c r="G96" s="5"/>
      <c r="H96" s="5"/>
      <c r="I96" s="5"/>
      <c r="J96" s="5"/>
      <c r="K96" s="5"/>
    </row>
    <row r="97" spans="2:11" x14ac:dyDescent="0.25">
      <c r="B97" s="1046"/>
      <c r="C97" s="92"/>
      <c r="D97" s="45" t="s">
        <v>91</v>
      </c>
      <c r="E97" s="5"/>
      <c r="F97" s="5"/>
      <c r="G97" s="5"/>
      <c r="H97" s="5"/>
      <c r="I97" s="5"/>
      <c r="J97" s="5"/>
      <c r="K97" s="5"/>
    </row>
    <row r="98" spans="2:11" ht="49.5" x14ac:dyDescent="0.25">
      <c r="B98" s="1046"/>
      <c r="C98" s="92"/>
      <c r="D98" s="45" t="s">
        <v>498</v>
      </c>
      <c r="E98" s="5"/>
      <c r="F98" s="5"/>
      <c r="G98" s="5"/>
      <c r="H98" s="5"/>
      <c r="I98" s="5"/>
      <c r="J98" s="5"/>
      <c r="K98" s="5"/>
    </row>
    <row r="99" spans="2:11" ht="49.5" x14ac:dyDescent="0.25">
      <c r="B99" s="1046"/>
      <c r="C99" s="92"/>
      <c r="D99" s="45" t="s">
        <v>499</v>
      </c>
      <c r="E99" s="5"/>
      <c r="F99" s="5"/>
      <c r="G99" s="5"/>
      <c r="H99" s="5"/>
      <c r="I99" s="5"/>
      <c r="J99" s="5"/>
      <c r="K99" s="5"/>
    </row>
    <row r="100" spans="2:11" ht="49.5" x14ac:dyDescent="0.25">
      <c r="B100" s="1046"/>
      <c r="C100" s="92"/>
      <c r="D100" s="45" t="s">
        <v>500</v>
      </c>
      <c r="E100" s="5"/>
      <c r="F100" s="5"/>
      <c r="G100" s="5"/>
      <c r="H100" s="5"/>
      <c r="I100" s="5"/>
      <c r="J100" s="5"/>
      <c r="K100" s="5"/>
    </row>
    <row r="101" spans="2:11" x14ac:dyDescent="0.25">
      <c r="B101" s="1046"/>
      <c r="C101" s="92"/>
      <c r="D101" s="52" t="s">
        <v>246</v>
      </c>
      <c r="E101" s="5"/>
      <c r="F101" s="5"/>
      <c r="G101" s="5"/>
      <c r="H101" s="5"/>
      <c r="I101" s="5"/>
      <c r="J101" s="5"/>
      <c r="K101" s="5"/>
    </row>
    <row r="102" spans="2:11" ht="36" x14ac:dyDescent="0.25">
      <c r="B102" s="1046"/>
      <c r="C102" s="92"/>
      <c r="D102" s="52" t="s">
        <v>501</v>
      </c>
      <c r="E102" s="5"/>
      <c r="F102" s="5"/>
      <c r="G102" s="5"/>
      <c r="H102" s="5"/>
      <c r="I102" s="5"/>
      <c r="J102" s="5"/>
      <c r="K102" s="5"/>
    </row>
    <row r="103" spans="2:11" x14ac:dyDescent="0.25">
      <c r="B103" s="1046"/>
      <c r="C103" s="92"/>
      <c r="D103" s="16"/>
      <c r="E103" s="5"/>
      <c r="F103" s="5"/>
      <c r="G103" s="5"/>
      <c r="H103" s="5"/>
      <c r="I103" s="5"/>
      <c r="J103" s="5"/>
      <c r="K103" s="5"/>
    </row>
    <row r="104" spans="2:11" x14ac:dyDescent="0.25">
      <c r="B104" s="1046"/>
      <c r="C104" s="92"/>
      <c r="D104" s="45" t="s">
        <v>91</v>
      </c>
      <c r="E104" s="5"/>
      <c r="F104" s="5"/>
      <c r="G104" s="5"/>
      <c r="H104" s="5"/>
      <c r="I104" s="5"/>
      <c r="J104" s="5"/>
      <c r="K104" s="5"/>
    </row>
    <row r="105" spans="2:11" ht="49.5" x14ac:dyDescent="0.25">
      <c r="B105" s="1046"/>
      <c r="C105" s="92"/>
      <c r="D105" s="45" t="s">
        <v>502</v>
      </c>
      <c r="E105" s="5"/>
      <c r="F105" s="5"/>
      <c r="G105" s="5"/>
      <c r="H105" s="5"/>
      <c r="I105" s="5"/>
      <c r="J105" s="5"/>
      <c r="K105" s="5"/>
    </row>
    <row r="106" spans="2:11" ht="50.25" thickBot="1" x14ac:dyDescent="0.3">
      <c r="B106" s="1047"/>
      <c r="C106" s="2"/>
      <c r="D106" s="40" t="s">
        <v>503</v>
      </c>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47">
    <mergeCell ref="B10:D10"/>
    <mergeCell ref="F10:S10"/>
    <mergeCell ref="F11:S11"/>
    <mergeCell ref="E12:R12"/>
    <mergeCell ref="E13:R13"/>
    <mergeCell ref="E29:E30"/>
    <mergeCell ref="F29:F30"/>
    <mergeCell ref="G29:G30"/>
    <mergeCell ref="J29:J30"/>
    <mergeCell ref="L29:L30"/>
    <mergeCell ref="B95:B106"/>
    <mergeCell ref="D16:D18"/>
    <mergeCell ref="E16:J16"/>
    <mergeCell ref="E17:G17"/>
    <mergeCell ref="H17:J17"/>
    <mergeCell ref="B15:B40"/>
    <mergeCell ref="D15:P15"/>
    <mergeCell ref="D23:P23"/>
    <mergeCell ref="D24:P24"/>
    <mergeCell ref="D25:P25"/>
    <mergeCell ref="D26:P26"/>
    <mergeCell ref="K16:P16"/>
    <mergeCell ref="B63:F63"/>
    <mergeCell ref="D41:P41"/>
    <mergeCell ref="B68:G68"/>
    <mergeCell ref="B69:G69"/>
    <mergeCell ref="Q15:Q18"/>
    <mergeCell ref="B75:B83"/>
    <mergeCell ref="B85:B94"/>
    <mergeCell ref="B70:G70"/>
    <mergeCell ref="B45:B51"/>
    <mergeCell ref="B53:E53"/>
    <mergeCell ref="B54:B60"/>
    <mergeCell ref="K17:M17"/>
    <mergeCell ref="N17:P17"/>
    <mergeCell ref="K29:K30"/>
    <mergeCell ref="D42:P42"/>
    <mergeCell ref="B44:E44"/>
    <mergeCell ref="D27:P27"/>
    <mergeCell ref="D28:P28"/>
    <mergeCell ref="C29:C30"/>
    <mergeCell ref="D29:D30"/>
    <mergeCell ref="A1:P1"/>
    <mergeCell ref="A2:P2"/>
    <mergeCell ref="A3:P3"/>
    <mergeCell ref="A4:D4"/>
    <mergeCell ref="A5:P5"/>
  </mergeCells>
  <conditionalFormatting sqref="F10">
    <cfRule type="notContainsBlanks" dxfId="78" priority="4">
      <formula>LEN(TRIM(F10))&gt;0</formula>
    </cfRule>
  </conditionalFormatting>
  <conditionalFormatting sqref="F11:S11">
    <cfRule type="expression" dxfId="77" priority="2">
      <formula>E11="NO SE REPORTA"</formula>
    </cfRule>
    <cfRule type="expression" dxfId="76" priority="3">
      <formula>E10="NO APLICA"</formula>
    </cfRule>
  </conditionalFormatting>
  <conditionalFormatting sqref="E12:R12">
    <cfRule type="expression" dxfId="75"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P21">
      <formula1>0</formula1>
    </dataValidation>
    <dataValidation type="whole" operator="greaterThanOrEqual" allowBlank="1" showInputMessage="1" showErrorMessage="1" errorTitle="ERROR" error="Valor en PESOS (sin centavos)" sqref="H31:L31 H32:K39">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49" r:id="rId1"/>
  </hyperlinks>
  <pageMargins left="0.25" right="0.25" top="0.75" bottom="0.75" header="0.3" footer="0.3"/>
  <pageSetup paperSize="178" orientation="landscape" horizontalDpi="1200" verticalDpi="12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0"/>
  <sheetViews>
    <sheetView showGridLines="0" zoomScale="98" zoomScaleNormal="98" workbookViewId="0">
      <selection activeCell="P20" sqref="P20"/>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526</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INFORMACION",+K21))</f>
        <v>1</v>
      </c>
      <c r="E8" s="210"/>
      <c r="F8" s="5" t="s">
        <v>130</v>
      </c>
      <c r="G8" s="5"/>
      <c r="H8" s="5"/>
      <c r="I8" s="5"/>
      <c r="J8" s="5"/>
      <c r="K8" s="5"/>
    </row>
    <row r="9" spans="1:21" x14ac:dyDescent="0.25">
      <c r="B9" s="363" t="s">
        <v>1193</v>
      </c>
      <c r="C9" s="86"/>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1916</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C14" s="86"/>
      <c r="D14" s="5"/>
      <c r="E14" s="5"/>
      <c r="F14" s="5"/>
      <c r="G14" s="5"/>
      <c r="H14" s="5"/>
      <c r="I14" s="5"/>
      <c r="J14" s="5"/>
      <c r="K14" s="5"/>
    </row>
    <row r="15" spans="1:21" ht="15.75" thickBot="1" x14ac:dyDescent="0.3">
      <c r="B15" s="1149" t="s">
        <v>2</v>
      </c>
      <c r="C15" s="100"/>
      <c r="D15" s="1036" t="s">
        <v>336</v>
      </c>
      <c r="E15" s="1037"/>
      <c r="F15" s="1037"/>
      <c r="G15" s="1037"/>
      <c r="H15" s="1037"/>
      <c r="I15" s="1037"/>
      <c r="J15" s="1037"/>
      <c r="K15" s="1037"/>
      <c r="L15" s="1133"/>
    </row>
    <row r="16" spans="1:21" ht="15.75" thickBot="1" x14ac:dyDescent="0.3">
      <c r="B16" s="1150"/>
      <c r="C16" s="106"/>
      <c r="D16" s="1038"/>
      <c r="E16" s="1048" t="s">
        <v>546</v>
      </c>
      <c r="F16" s="1049"/>
      <c r="G16" s="1050"/>
      <c r="H16" s="1048" t="s">
        <v>547</v>
      </c>
      <c r="I16" s="1049"/>
      <c r="J16" s="1050"/>
      <c r="K16" s="1045" t="s">
        <v>466</v>
      </c>
      <c r="L16" s="13"/>
    </row>
    <row r="17" spans="2:12" ht="15.75" thickBot="1" x14ac:dyDescent="0.3">
      <c r="B17" s="1150"/>
      <c r="C17" s="106"/>
      <c r="D17" s="1053"/>
      <c r="E17" s="64" t="s">
        <v>506</v>
      </c>
      <c r="F17" s="64" t="s">
        <v>507</v>
      </c>
      <c r="G17" s="64" t="s">
        <v>548</v>
      </c>
      <c r="H17" s="64" t="s">
        <v>506</v>
      </c>
      <c r="I17" s="64" t="s">
        <v>507</v>
      </c>
      <c r="J17" s="64" t="s">
        <v>548</v>
      </c>
      <c r="K17" s="1047"/>
      <c r="L17" s="13"/>
    </row>
    <row r="18" spans="2:12" ht="24.75" thickBot="1" x14ac:dyDescent="0.3">
      <c r="B18" s="1150"/>
      <c r="C18" s="106"/>
      <c r="D18" s="40" t="s">
        <v>549</v>
      </c>
      <c r="E18" s="6">
        <v>1</v>
      </c>
      <c r="F18" s="6">
        <v>1</v>
      </c>
      <c r="G18" s="41">
        <f>+E18+F18</f>
        <v>2</v>
      </c>
      <c r="H18" s="6">
        <v>1</v>
      </c>
      <c r="I18" s="6">
        <v>1</v>
      </c>
      <c r="J18" s="41">
        <f>+H18+I18</f>
        <v>2</v>
      </c>
      <c r="K18" s="41">
        <f>+G18+J18</f>
        <v>4</v>
      </c>
      <c r="L18" s="13"/>
    </row>
    <row r="19" spans="2:12" ht="36.75" thickBot="1" x14ac:dyDescent="0.3">
      <c r="B19" s="1150"/>
      <c r="C19" s="106"/>
      <c r="D19" s="40" t="s">
        <v>550</v>
      </c>
      <c r="E19" s="6">
        <v>0</v>
      </c>
      <c r="F19" s="6">
        <v>1</v>
      </c>
      <c r="G19" s="41">
        <f>+E19+F19</f>
        <v>1</v>
      </c>
      <c r="H19" s="6">
        <v>0</v>
      </c>
      <c r="I19" s="6">
        <v>1</v>
      </c>
      <c r="J19" s="41">
        <f>+H19+I19</f>
        <v>1</v>
      </c>
      <c r="K19" s="41">
        <f>+G19+J19</f>
        <v>2</v>
      </c>
      <c r="L19" s="13"/>
    </row>
    <row r="20" spans="2:12" ht="36.75" thickBot="1" x14ac:dyDescent="0.3">
      <c r="B20" s="1150"/>
      <c r="C20" s="106"/>
      <c r="D20" s="40" t="s">
        <v>551</v>
      </c>
      <c r="E20" s="6">
        <v>0</v>
      </c>
      <c r="F20" s="6">
        <v>1</v>
      </c>
      <c r="G20" s="41">
        <f>+E20+F20</f>
        <v>1</v>
      </c>
      <c r="H20" s="6">
        <v>0</v>
      </c>
      <c r="I20" s="6">
        <v>1</v>
      </c>
      <c r="J20" s="41">
        <f>+H20+I20</f>
        <v>1</v>
      </c>
      <c r="K20" s="41">
        <f>+G20+J20</f>
        <v>2</v>
      </c>
      <c r="L20" s="13"/>
    </row>
    <row r="21" spans="2:12" ht="36.75" thickBot="1" x14ac:dyDescent="0.3">
      <c r="B21" s="1150"/>
      <c r="C21" s="106"/>
      <c r="D21" s="40" t="s">
        <v>526</v>
      </c>
      <c r="E21" s="183" t="str">
        <f>IFERROR(E20/E19,"N.A.")</f>
        <v>N.A.</v>
      </c>
      <c r="F21" s="183">
        <f t="shared" ref="F21:K21" si="0">IFERROR(F20/F19,"N.A.")</f>
        <v>1</v>
      </c>
      <c r="G21" s="183">
        <f t="shared" si="0"/>
        <v>1</v>
      </c>
      <c r="H21" s="183" t="str">
        <f t="shared" si="0"/>
        <v>N.A.</v>
      </c>
      <c r="I21" s="183">
        <f t="shared" si="0"/>
        <v>1</v>
      </c>
      <c r="J21" s="135">
        <f t="shared" si="0"/>
        <v>1</v>
      </c>
      <c r="K21" s="135">
        <f t="shared" si="0"/>
        <v>1</v>
      </c>
      <c r="L21" s="13"/>
    </row>
    <row r="22" spans="2:12" x14ac:dyDescent="0.25">
      <c r="B22" s="1150"/>
      <c r="C22" s="101"/>
      <c r="D22" s="1027"/>
      <c r="E22" s="1028"/>
      <c r="F22" s="1028"/>
      <c r="G22" s="1028"/>
      <c r="H22" s="1028"/>
      <c r="I22" s="1028"/>
      <c r="J22" s="1028"/>
      <c r="K22" s="1028"/>
      <c r="L22" s="1118"/>
    </row>
    <row r="23" spans="2:12" x14ac:dyDescent="0.25">
      <c r="B23" s="1150"/>
      <c r="C23" s="101"/>
      <c r="D23" s="1039" t="s">
        <v>246</v>
      </c>
      <c r="E23" s="1040"/>
      <c r="F23" s="1040"/>
      <c r="G23" s="1040"/>
      <c r="H23" s="1040"/>
      <c r="I23" s="1040"/>
      <c r="J23" s="1040"/>
      <c r="K23" s="1040"/>
      <c r="L23" s="1119"/>
    </row>
    <row r="24" spans="2:12" x14ac:dyDescent="0.25">
      <c r="B24" s="1150"/>
      <c r="C24" s="101"/>
      <c r="D24" s="1039" t="s">
        <v>552</v>
      </c>
      <c r="E24" s="1040"/>
      <c r="F24" s="1040"/>
      <c r="G24" s="1040"/>
      <c r="H24" s="1040"/>
      <c r="I24" s="1040"/>
      <c r="J24" s="1040"/>
      <c r="K24" s="1040"/>
      <c r="L24" s="1119"/>
    </row>
    <row r="25" spans="2:12" ht="15.75" thickBot="1" x14ac:dyDescent="0.3">
      <c r="B25" s="1150"/>
      <c r="C25" s="101"/>
      <c r="D25" s="1051" t="s">
        <v>340</v>
      </c>
      <c r="E25" s="1052"/>
      <c r="F25" s="1052"/>
      <c r="G25" s="1052"/>
      <c r="H25" s="1052"/>
      <c r="I25" s="1052"/>
      <c r="J25" s="1052"/>
      <c r="K25" s="1052"/>
      <c r="L25" s="1120"/>
    </row>
    <row r="26" spans="2:12" ht="21.2" customHeight="1" x14ac:dyDescent="0.25">
      <c r="B26" s="1150"/>
      <c r="C26" s="1093" t="s">
        <v>19</v>
      </c>
      <c r="D26" s="1134" t="s">
        <v>270</v>
      </c>
      <c r="E26" s="1121" t="s">
        <v>518</v>
      </c>
      <c r="F26" s="1121" t="s">
        <v>519</v>
      </c>
      <c r="G26" s="1121" t="s">
        <v>520</v>
      </c>
      <c r="H26" s="199" t="s">
        <v>473</v>
      </c>
      <c r="I26" s="199" t="s">
        <v>475</v>
      </c>
      <c r="J26" s="1121" t="s">
        <v>274</v>
      </c>
      <c r="K26" s="1121" t="s">
        <v>275</v>
      </c>
      <c r="L26" s="1121" t="s">
        <v>55</v>
      </c>
    </row>
    <row r="27" spans="2:12" ht="15.75" thickBot="1" x14ac:dyDescent="0.3">
      <c r="B27" s="1150"/>
      <c r="C27" s="1094"/>
      <c r="D27" s="1136"/>
      <c r="E27" s="1122"/>
      <c r="F27" s="1122"/>
      <c r="G27" s="1122"/>
      <c r="H27" s="200" t="s">
        <v>474</v>
      </c>
      <c r="I27" s="200" t="s">
        <v>476</v>
      </c>
      <c r="J27" s="1122"/>
      <c r="K27" s="1122"/>
      <c r="L27" s="1122"/>
    </row>
    <row r="28" spans="2:12" ht="91.5" customHeight="1" thickBot="1" x14ac:dyDescent="0.3">
      <c r="B28" s="1150"/>
      <c r="C28" s="270">
        <v>1</v>
      </c>
      <c r="D28" s="29" t="s">
        <v>2061</v>
      </c>
      <c r="E28" s="30" t="s">
        <v>1920</v>
      </c>
      <c r="F28" s="29" t="s">
        <v>507</v>
      </c>
      <c r="G28" s="29" t="s">
        <v>1921</v>
      </c>
      <c r="H28" s="184">
        <v>67500000</v>
      </c>
      <c r="I28" s="184">
        <v>67500000</v>
      </c>
      <c r="J28" s="184">
        <v>67500000</v>
      </c>
      <c r="K28" s="184">
        <v>67500000</v>
      </c>
      <c r="L28" s="184"/>
    </row>
    <row r="29" spans="2:12" ht="384.75" thickBot="1" x14ac:dyDescent="0.3">
      <c r="B29" s="1150"/>
      <c r="C29" s="270">
        <v>2</v>
      </c>
      <c r="D29" s="29" t="s">
        <v>1922</v>
      </c>
      <c r="E29" s="30" t="s">
        <v>1823</v>
      </c>
      <c r="F29" s="30" t="s">
        <v>507</v>
      </c>
      <c r="G29" s="29" t="s">
        <v>1923</v>
      </c>
      <c r="H29" s="184"/>
      <c r="I29" s="184"/>
      <c r="J29" s="184"/>
      <c r="K29" s="184"/>
      <c r="L29" s="184" t="s">
        <v>1924</v>
      </c>
    </row>
    <row r="30" spans="2:12" ht="15.75" thickBot="1" x14ac:dyDescent="0.3">
      <c r="B30" s="1150"/>
      <c r="C30" s="270"/>
      <c r="D30" s="30"/>
      <c r="E30" s="30"/>
      <c r="F30" s="30"/>
      <c r="G30" s="30"/>
      <c r="H30" s="205"/>
      <c r="I30" s="205"/>
      <c r="J30" s="205"/>
      <c r="K30" s="205"/>
      <c r="L30" s="205"/>
    </row>
    <row r="31" spans="2:12" ht="15.75" thickBot="1" x14ac:dyDescent="0.3">
      <c r="B31" s="1150"/>
      <c r="C31" s="270"/>
      <c r="D31" s="30"/>
      <c r="E31" s="30"/>
      <c r="F31" s="30"/>
      <c r="G31" s="30"/>
      <c r="H31" s="205"/>
      <c r="I31" s="205"/>
      <c r="J31" s="205"/>
      <c r="K31" s="205"/>
      <c r="L31" s="205"/>
    </row>
    <row r="32" spans="2:12" ht="15.75" thickBot="1" x14ac:dyDescent="0.3">
      <c r="B32" s="1150"/>
      <c r="C32" s="270"/>
      <c r="D32" s="30"/>
      <c r="E32" s="30"/>
      <c r="F32" s="30"/>
      <c r="G32" s="30"/>
      <c r="H32" s="205"/>
      <c r="I32" s="205"/>
      <c r="J32" s="205"/>
      <c r="K32" s="205"/>
      <c r="L32" s="205"/>
    </row>
    <row r="33" spans="2:12" ht="15.75" thickBot="1" x14ac:dyDescent="0.3">
      <c r="B33" s="1150"/>
      <c r="C33" s="270"/>
      <c r="D33" s="30"/>
      <c r="E33" s="30"/>
      <c r="F33" s="30"/>
      <c r="G33" s="30"/>
      <c r="H33" s="205"/>
      <c r="I33" s="205"/>
      <c r="J33" s="205"/>
      <c r="K33" s="205"/>
      <c r="L33" s="205"/>
    </row>
    <row r="34" spans="2:12" ht="15.75" thickBot="1" x14ac:dyDescent="0.3">
      <c r="B34" s="1150"/>
      <c r="C34" s="270"/>
      <c r="D34" s="30"/>
      <c r="E34" s="30"/>
      <c r="F34" s="30"/>
      <c r="G34" s="30"/>
      <c r="H34" s="205"/>
      <c r="I34" s="205"/>
      <c r="J34" s="205"/>
      <c r="K34" s="205"/>
      <c r="L34" s="205"/>
    </row>
    <row r="35" spans="2:12" ht="15.75" thickBot="1" x14ac:dyDescent="0.3">
      <c r="B35" s="1150"/>
      <c r="C35" s="270"/>
      <c r="D35" s="30"/>
      <c r="E35" s="30"/>
      <c r="F35" s="30"/>
      <c r="G35" s="30"/>
      <c r="H35" s="205"/>
      <c r="I35" s="205"/>
      <c r="J35" s="205"/>
      <c r="K35" s="205"/>
      <c r="L35" s="205"/>
    </row>
    <row r="36" spans="2:12" ht="15.75" thickBot="1" x14ac:dyDescent="0.3">
      <c r="B36" s="1150"/>
      <c r="C36" s="270"/>
      <c r="D36" s="30"/>
      <c r="E36" s="30"/>
      <c r="F36" s="30"/>
      <c r="G36" s="30"/>
      <c r="H36" s="205"/>
      <c r="I36" s="205"/>
      <c r="J36" s="205"/>
      <c r="K36" s="205"/>
      <c r="L36" s="205"/>
    </row>
    <row r="37" spans="2:12" ht="15.75" thickBot="1" x14ac:dyDescent="0.3">
      <c r="B37" s="1151"/>
      <c r="C37" s="107"/>
      <c r="D37" s="26"/>
      <c r="E37" s="39" t="s">
        <v>151</v>
      </c>
      <c r="F37" s="26"/>
      <c r="G37" s="26"/>
      <c r="H37" s="188">
        <f>SUM(H28:H36)</f>
        <v>67500000</v>
      </c>
      <c r="I37" s="188">
        <f>SUM(I28:I36)</f>
        <v>67500000</v>
      </c>
      <c r="J37" s="188">
        <f>SUM(J28:J36)</f>
        <v>67500000</v>
      </c>
      <c r="K37" s="188">
        <f>SUM(K28:K36)</f>
        <v>67500000</v>
      </c>
      <c r="L37" s="205"/>
    </row>
    <row r="38" spans="2:12" ht="36" customHeight="1" thickBot="1" x14ac:dyDescent="0.3">
      <c r="B38" s="71" t="s">
        <v>34</v>
      </c>
      <c r="C38" s="105"/>
      <c r="D38" s="1048" t="s">
        <v>553</v>
      </c>
      <c r="E38" s="1049"/>
      <c r="F38" s="1049"/>
      <c r="G38" s="1049"/>
      <c r="H38" s="1049"/>
      <c r="I38" s="1049"/>
      <c r="J38" s="1049"/>
      <c r="K38" s="1049"/>
      <c r="L38" s="1117"/>
    </row>
    <row r="39" spans="2:12" ht="24" customHeight="1" thickBot="1" x14ac:dyDescent="0.3">
      <c r="B39" s="71" t="s">
        <v>36</v>
      </c>
      <c r="C39" s="105"/>
      <c r="D39" s="1048" t="s">
        <v>554</v>
      </c>
      <c r="E39" s="1049"/>
      <c r="F39" s="1049"/>
      <c r="G39" s="1049"/>
      <c r="H39" s="1049"/>
      <c r="I39" s="1049"/>
      <c r="J39" s="1049"/>
      <c r="K39" s="1049"/>
      <c r="L39" s="1117"/>
    </row>
    <row r="40" spans="2:12" ht="15.75" thickBot="1" x14ac:dyDescent="0.3">
      <c r="B40" s="1"/>
      <c r="C40" s="74"/>
      <c r="D40" s="5"/>
      <c r="E40" s="5"/>
      <c r="F40" s="5"/>
      <c r="G40" s="5"/>
      <c r="H40" s="5"/>
      <c r="I40" s="5"/>
      <c r="J40" s="5"/>
      <c r="K40" s="5"/>
    </row>
    <row r="41" spans="2:12" ht="24" customHeight="1" thickBot="1" x14ac:dyDescent="0.3">
      <c r="B41" s="1054" t="s">
        <v>38</v>
      </c>
      <c r="C41" s="1055"/>
      <c r="D41" s="1055"/>
      <c r="E41" s="1056"/>
      <c r="F41" s="5"/>
      <c r="G41" s="5"/>
      <c r="H41" s="5"/>
      <c r="I41" s="5"/>
      <c r="J41" s="5"/>
      <c r="K41" s="5"/>
    </row>
    <row r="42" spans="2:12" ht="15.75" thickBot="1" x14ac:dyDescent="0.3">
      <c r="B42" s="1045">
        <v>1</v>
      </c>
      <c r="C42" s="92"/>
      <c r="D42" s="47" t="s">
        <v>39</v>
      </c>
      <c r="E42" s="30" t="s">
        <v>1771</v>
      </c>
      <c r="F42" s="5"/>
      <c r="G42" s="5"/>
      <c r="H42" s="5"/>
      <c r="I42" s="5"/>
      <c r="J42" s="5"/>
      <c r="K42" s="5"/>
    </row>
    <row r="43" spans="2:12" ht="15.75" thickBot="1" x14ac:dyDescent="0.3">
      <c r="B43" s="1046"/>
      <c r="C43" s="92"/>
      <c r="D43" s="40" t="s">
        <v>40</v>
      </c>
      <c r="E43" s="30" t="s">
        <v>1776</v>
      </c>
      <c r="F43" s="5"/>
      <c r="G43" s="5"/>
      <c r="H43" s="5"/>
      <c r="I43" s="5"/>
      <c r="J43" s="5"/>
      <c r="K43" s="5"/>
    </row>
    <row r="44" spans="2:12" ht="15.75" thickBot="1" x14ac:dyDescent="0.3">
      <c r="B44" s="1046"/>
      <c r="C44" s="92"/>
      <c r="D44" s="40" t="s">
        <v>41</v>
      </c>
      <c r="E44" s="30" t="s">
        <v>1777</v>
      </c>
      <c r="F44" s="5"/>
      <c r="G44" s="5"/>
      <c r="H44" s="5"/>
      <c r="I44" s="5"/>
      <c r="J44" s="5"/>
      <c r="K44" s="5"/>
    </row>
    <row r="45" spans="2:12" ht="15.75" thickBot="1" x14ac:dyDescent="0.3">
      <c r="B45" s="1046"/>
      <c r="C45" s="92"/>
      <c r="D45" s="40" t="s">
        <v>42</v>
      </c>
      <c r="E45" s="30" t="s">
        <v>1778</v>
      </c>
      <c r="F45" s="5"/>
      <c r="G45" s="5"/>
      <c r="H45" s="5"/>
      <c r="I45" s="5"/>
      <c r="J45" s="5"/>
      <c r="K45" s="5"/>
    </row>
    <row r="46" spans="2:12" ht="15.75" thickBot="1" x14ac:dyDescent="0.3">
      <c r="B46" s="1046"/>
      <c r="C46" s="92"/>
      <c r="D46" s="40" t="s">
        <v>43</v>
      </c>
      <c r="E46" s="515" t="s">
        <v>1779</v>
      </c>
      <c r="F46" s="5"/>
      <c r="G46" s="5"/>
      <c r="H46" s="5"/>
      <c r="I46" s="5"/>
      <c r="J46" s="5"/>
      <c r="K46" s="5"/>
    </row>
    <row r="47" spans="2:12" ht="15.75" thickBot="1" x14ac:dyDescent="0.3">
      <c r="B47" s="1046"/>
      <c r="C47" s="92"/>
      <c r="D47" s="40" t="s">
        <v>44</v>
      </c>
      <c r="E47" s="30">
        <v>4380200</v>
      </c>
      <c r="F47" s="5"/>
      <c r="G47" s="5"/>
      <c r="H47" s="5"/>
      <c r="I47" s="5"/>
      <c r="J47" s="5"/>
      <c r="K47" s="5"/>
    </row>
    <row r="48" spans="2:12" ht="15.75" thickBot="1" x14ac:dyDescent="0.3">
      <c r="B48" s="1047"/>
      <c r="C48" s="2"/>
      <c r="D48" s="40" t="s">
        <v>45</v>
      </c>
      <c r="E48" s="30" t="s">
        <v>1773</v>
      </c>
      <c r="F48" s="5"/>
      <c r="G48" s="5"/>
      <c r="H48" s="5"/>
      <c r="I48" s="5"/>
      <c r="J48" s="5"/>
      <c r="K48" s="5"/>
    </row>
    <row r="49" spans="2:11" ht="15.75" thickBot="1" x14ac:dyDescent="0.3">
      <c r="B49" s="1"/>
      <c r="C49" s="74"/>
      <c r="D49" s="5"/>
      <c r="E49" s="5"/>
      <c r="F49" s="5"/>
      <c r="G49" s="5"/>
      <c r="H49" s="5"/>
      <c r="I49" s="5"/>
      <c r="J49" s="5"/>
      <c r="K49" s="5"/>
    </row>
    <row r="50" spans="2:11" ht="15.75" thickBot="1" x14ac:dyDescent="0.3">
      <c r="B50" s="1054" t="s">
        <v>46</v>
      </c>
      <c r="C50" s="1055"/>
      <c r="D50" s="1055"/>
      <c r="E50" s="1056"/>
      <c r="F50" s="5"/>
      <c r="G50" s="5"/>
      <c r="H50" s="5"/>
      <c r="I50" s="5"/>
      <c r="J50" s="5"/>
      <c r="K50" s="5"/>
    </row>
    <row r="51" spans="2:11" ht="15.75" thickBot="1" x14ac:dyDescent="0.3">
      <c r="B51" s="1045">
        <v>1</v>
      </c>
      <c r="C51" s="92"/>
      <c r="D51" s="47" t="s">
        <v>39</v>
      </c>
      <c r="E51" s="217" t="s">
        <v>47</v>
      </c>
      <c r="F51" s="5"/>
      <c r="G51" s="5"/>
      <c r="H51" s="5"/>
      <c r="I51" s="5"/>
      <c r="J51" s="5"/>
      <c r="K51" s="5"/>
    </row>
    <row r="52" spans="2:11" ht="15.75" thickBot="1" x14ac:dyDescent="0.3">
      <c r="B52" s="1046"/>
      <c r="C52" s="92"/>
      <c r="D52" s="40" t="s">
        <v>40</v>
      </c>
      <c r="E52" s="217" t="s">
        <v>48</v>
      </c>
      <c r="F52" s="5"/>
      <c r="G52" s="5"/>
      <c r="H52" s="5"/>
      <c r="I52" s="5"/>
      <c r="J52" s="5"/>
      <c r="K52" s="5"/>
    </row>
    <row r="53" spans="2:11" ht="15.75" thickBot="1" x14ac:dyDescent="0.3">
      <c r="B53" s="1046"/>
      <c r="C53" s="92"/>
      <c r="D53" s="40" t="s">
        <v>41</v>
      </c>
      <c r="E53" s="237"/>
      <c r="F53" s="5"/>
      <c r="G53" s="5"/>
      <c r="H53" s="5"/>
      <c r="I53" s="5"/>
      <c r="J53" s="5"/>
      <c r="K53" s="5"/>
    </row>
    <row r="54" spans="2:11" ht="15.75" thickBot="1" x14ac:dyDescent="0.3">
      <c r="B54" s="1046"/>
      <c r="C54" s="92"/>
      <c r="D54" s="40" t="s">
        <v>42</v>
      </c>
      <c r="E54" s="237"/>
      <c r="F54" s="5"/>
      <c r="G54" s="5"/>
      <c r="H54" s="5"/>
      <c r="I54" s="5"/>
      <c r="J54" s="5"/>
      <c r="K54" s="5"/>
    </row>
    <row r="55" spans="2:11" ht="15.75" thickBot="1" x14ac:dyDescent="0.3">
      <c r="B55" s="1046"/>
      <c r="C55" s="92"/>
      <c r="D55" s="40" t="s">
        <v>43</v>
      </c>
      <c r="E55" s="237"/>
      <c r="F55" s="5"/>
      <c r="G55" s="5"/>
      <c r="H55" s="5"/>
      <c r="I55" s="5"/>
      <c r="J55" s="5"/>
      <c r="K55" s="5"/>
    </row>
    <row r="56" spans="2:11" ht="15.75" thickBot="1" x14ac:dyDescent="0.3">
      <c r="B56" s="1046"/>
      <c r="C56" s="92"/>
      <c r="D56" s="40" t="s">
        <v>44</v>
      </c>
      <c r="E56" s="237"/>
      <c r="F56" s="5"/>
      <c r="G56" s="5"/>
      <c r="H56" s="5"/>
      <c r="I56" s="5"/>
      <c r="J56" s="5"/>
      <c r="K56" s="5"/>
    </row>
    <row r="57" spans="2:11" ht="15.75" thickBot="1" x14ac:dyDescent="0.3">
      <c r="B57" s="1047"/>
      <c r="C57" s="2"/>
      <c r="D57" s="40" t="s">
        <v>45</v>
      </c>
      <c r="E57" s="237"/>
      <c r="F57" s="5"/>
      <c r="G57" s="5"/>
      <c r="H57" s="5"/>
      <c r="I57" s="5"/>
      <c r="J57" s="5"/>
      <c r="K57" s="5"/>
    </row>
    <row r="58" spans="2:11" ht="15.75" thickBot="1" x14ac:dyDescent="0.3">
      <c r="B58" s="1"/>
      <c r="C58" s="74"/>
      <c r="D58" s="5"/>
      <c r="E58" s="5"/>
      <c r="F58" s="5"/>
      <c r="G58" s="5"/>
      <c r="H58" s="5"/>
      <c r="I58" s="5"/>
      <c r="J58" s="5"/>
      <c r="K58" s="5"/>
    </row>
    <row r="59" spans="2:11" ht="15" customHeight="1" thickBot="1" x14ac:dyDescent="0.3">
      <c r="B59" s="117" t="s">
        <v>49</v>
      </c>
      <c r="C59" s="118"/>
      <c r="D59" s="118"/>
      <c r="E59" s="119"/>
      <c r="G59" s="5"/>
      <c r="H59" s="5"/>
      <c r="I59" s="5"/>
      <c r="J59" s="5"/>
      <c r="K59" s="5"/>
    </row>
    <row r="60" spans="2:11" ht="24.75" thickBot="1" x14ac:dyDescent="0.3">
      <c r="B60" s="46" t="s">
        <v>50</v>
      </c>
      <c r="C60" s="40" t="s">
        <v>51</v>
      </c>
      <c r="D60" s="40" t="s">
        <v>52</v>
      </c>
      <c r="E60" s="40" t="s">
        <v>53</v>
      </c>
      <c r="F60" s="5"/>
      <c r="G60" s="5"/>
      <c r="H60" s="5"/>
      <c r="I60" s="5"/>
      <c r="J60" s="5"/>
    </row>
    <row r="61" spans="2:11" ht="72.75" thickBot="1" x14ac:dyDescent="0.3">
      <c r="B61" s="48">
        <v>42401</v>
      </c>
      <c r="C61" s="40">
        <v>0.01</v>
      </c>
      <c r="D61" s="49" t="s">
        <v>555</v>
      </c>
      <c r="E61" s="40"/>
      <c r="F61" s="5"/>
      <c r="G61" s="5"/>
      <c r="H61" s="5"/>
      <c r="I61" s="5"/>
      <c r="J61" s="5"/>
    </row>
    <row r="62" spans="2:11" ht="15.75" thickBot="1" x14ac:dyDescent="0.3">
      <c r="B62" s="3"/>
      <c r="C62" s="93"/>
      <c r="D62" s="5"/>
      <c r="E62" s="5"/>
      <c r="F62" s="5"/>
      <c r="G62" s="5"/>
      <c r="H62" s="5"/>
      <c r="I62" s="5"/>
      <c r="J62" s="5"/>
      <c r="K62" s="5"/>
    </row>
    <row r="63" spans="2:11" x14ac:dyDescent="0.25">
      <c r="B63" s="127" t="s">
        <v>55</v>
      </c>
      <c r="C63" s="94"/>
      <c r="D63" s="5"/>
      <c r="E63" s="5"/>
      <c r="F63" s="5"/>
      <c r="G63" s="5"/>
      <c r="H63" s="5"/>
      <c r="I63" s="5"/>
      <c r="J63" s="5"/>
      <c r="K63" s="5"/>
    </row>
    <row r="64" spans="2:11" ht="81" customHeight="1" x14ac:dyDescent="0.25">
      <c r="B64" s="1153" t="s">
        <v>556</v>
      </c>
      <c r="C64" s="1154"/>
      <c r="D64" s="1155"/>
      <c r="E64" s="5"/>
      <c r="F64" s="5"/>
      <c r="G64" s="5"/>
      <c r="H64" s="5"/>
      <c r="I64" s="5"/>
      <c r="J64" s="5"/>
      <c r="K64" s="5"/>
    </row>
    <row r="65" spans="2:11" x14ac:dyDescent="0.25">
      <c r="B65" s="1156"/>
      <c r="C65" s="1157"/>
      <c r="D65" s="1158"/>
      <c r="E65" s="5"/>
      <c r="F65" s="5"/>
      <c r="G65" s="5"/>
      <c r="H65" s="5"/>
      <c r="I65" s="5"/>
      <c r="J65" s="5"/>
      <c r="K65" s="5"/>
    </row>
    <row r="66" spans="2:11" x14ac:dyDescent="0.25">
      <c r="B66" s="1"/>
      <c r="C66" s="74"/>
      <c r="D66" s="5"/>
      <c r="E66" s="5"/>
      <c r="F66" s="5"/>
      <c r="G66" s="5"/>
      <c r="H66" s="5"/>
      <c r="I66" s="5"/>
      <c r="J66" s="5"/>
      <c r="K66" s="5"/>
    </row>
    <row r="67" spans="2:11" ht="15.75" thickBot="1" x14ac:dyDescent="0.3">
      <c r="B67" s="5"/>
      <c r="D67" s="5"/>
      <c r="E67" s="5"/>
      <c r="F67" s="5"/>
      <c r="G67" s="5"/>
      <c r="H67" s="5"/>
      <c r="I67" s="5"/>
      <c r="J67" s="5"/>
      <c r="K67" s="5"/>
    </row>
    <row r="68" spans="2:11" ht="24.75" thickBot="1" x14ac:dyDescent="0.3">
      <c r="B68" s="50" t="s">
        <v>450</v>
      </c>
      <c r="C68" s="95"/>
      <c r="D68" s="5"/>
      <c r="E68" s="5"/>
      <c r="F68" s="5"/>
      <c r="G68" s="5"/>
      <c r="H68" s="5"/>
      <c r="I68" s="5"/>
      <c r="J68" s="5"/>
      <c r="K68" s="5"/>
    </row>
    <row r="69" spans="2:11" ht="15.75" thickBot="1" x14ac:dyDescent="0.3">
      <c r="B69" s="37"/>
      <c r="C69" s="86"/>
      <c r="D69" s="5"/>
      <c r="E69" s="5"/>
      <c r="F69" s="5"/>
      <c r="G69" s="5"/>
      <c r="H69" s="5"/>
      <c r="I69" s="5"/>
      <c r="J69" s="5"/>
      <c r="K69" s="5"/>
    </row>
    <row r="70" spans="2:11" ht="84.75" thickBot="1" x14ac:dyDescent="0.3">
      <c r="B70" s="51" t="s">
        <v>57</v>
      </c>
      <c r="C70" s="96"/>
      <c r="D70" s="42" t="s">
        <v>527</v>
      </c>
      <c r="E70" s="5"/>
      <c r="F70" s="5"/>
      <c r="G70" s="5"/>
      <c r="H70" s="5"/>
      <c r="I70" s="5"/>
      <c r="J70" s="5"/>
      <c r="K70" s="5"/>
    </row>
    <row r="71" spans="2:11" x14ac:dyDescent="0.25">
      <c r="B71" s="1045" t="s">
        <v>59</v>
      </c>
      <c r="C71" s="92"/>
      <c r="D71" s="52" t="s">
        <v>60</v>
      </c>
      <c r="E71" s="5"/>
      <c r="F71" s="5"/>
      <c r="G71" s="5"/>
      <c r="H71" s="5"/>
      <c r="I71" s="5"/>
      <c r="J71" s="5"/>
      <c r="K71" s="5"/>
    </row>
    <row r="72" spans="2:11" ht="120" x14ac:dyDescent="0.25">
      <c r="B72" s="1046"/>
      <c r="C72" s="92"/>
      <c r="D72" s="45" t="s">
        <v>528</v>
      </c>
      <c r="E72" s="5"/>
      <c r="F72" s="5"/>
      <c r="G72" s="5"/>
      <c r="H72" s="5"/>
      <c r="I72" s="5"/>
      <c r="J72" s="5"/>
      <c r="K72" s="5"/>
    </row>
    <row r="73" spans="2:11" x14ac:dyDescent="0.25">
      <c r="B73" s="1046"/>
      <c r="C73" s="92"/>
      <c r="D73" s="52" t="s">
        <v>63</v>
      </c>
      <c r="E73" s="5"/>
      <c r="F73" s="5"/>
      <c r="G73" s="5"/>
      <c r="H73" s="5"/>
      <c r="I73" s="5"/>
      <c r="J73" s="5"/>
      <c r="K73" s="5"/>
    </row>
    <row r="74" spans="2:11" x14ac:dyDescent="0.25">
      <c r="B74" s="1046"/>
      <c r="C74" s="92"/>
      <c r="D74" s="45" t="s">
        <v>165</v>
      </c>
      <c r="E74" s="5"/>
      <c r="F74" s="5"/>
      <c r="G74" s="5"/>
      <c r="H74" s="5"/>
      <c r="I74" s="5"/>
      <c r="J74" s="5"/>
      <c r="K74" s="5"/>
    </row>
    <row r="75" spans="2:11" ht="24" x14ac:dyDescent="0.25">
      <c r="B75" s="1046"/>
      <c r="C75" s="92"/>
      <c r="D75" s="45" t="s">
        <v>529</v>
      </c>
      <c r="E75" s="5"/>
      <c r="F75" s="5"/>
      <c r="G75" s="5"/>
      <c r="H75" s="5"/>
      <c r="I75" s="5"/>
      <c r="J75" s="5"/>
      <c r="K75" s="5"/>
    </row>
    <row r="76" spans="2:11" x14ac:dyDescent="0.25">
      <c r="B76" s="1046"/>
      <c r="C76" s="92"/>
      <c r="D76" s="45" t="s">
        <v>530</v>
      </c>
      <c r="E76" s="5"/>
      <c r="F76" s="5"/>
      <c r="G76" s="5"/>
      <c r="H76" s="5"/>
      <c r="I76" s="5"/>
      <c r="J76" s="5"/>
      <c r="K76" s="5"/>
    </row>
    <row r="77" spans="2:11" ht="24" x14ac:dyDescent="0.25">
      <c r="B77" s="1046"/>
      <c r="C77" s="92"/>
      <c r="D77" s="45" t="s">
        <v>531</v>
      </c>
      <c r="E77" s="5"/>
      <c r="F77" s="5"/>
      <c r="G77" s="5"/>
      <c r="H77" s="5"/>
      <c r="I77" s="5"/>
      <c r="J77" s="5"/>
      <c r="K77" s="5"/>
    </row>
    <row r="78" spans="2:11" ht="24" x14ac:dyDescent="0.25">
      <c r="B78" s="1046"/>
      <c r="C78" s="92"/>
      <c r="D78" s="45" t="s">
        <v>532</v>
      </c>
      <c r="E78" s="5"/>
      <c r="F78" s="5"/>
      <c r="G78" s="5"/>
      <c r="H78" s="5"/>
      <c r="I78" s="5"/>
      <c r="J78" s="5"/>
      <c r="K78" s="5"/>
    </row>
    <row r="79" spans="2:11" ht="24" x14ac:dyDescent="0.25">
      <c r="B79" s="1046"/>
      <c r="C79" s="92"/>
      <c r="D79" s="45" t="s">
        <v>533</v>
      </c>
      <c r="E79" s="5"/>
      <c r="F79" s="5"/>
      <c r="G79" s="5"/>
      <c r="H79" s="5"/>
      <c r="I79" s="5"/>
      <c r="J79" s="5"/>
      <c r="K79" s="5"/>
    </row>
    <row r="80" spans="2:11" x14ac:dyDescent="0.25">
      <c r="B80" s="1046"/>
      <c r="C80" s="92"/>
      <c r="D80" s="52" t="s">
        <v>288</v>
      </c>
      <c r="E80" s="5"/>
      <c r="F80" s="5"/>
      <c r="G80" s="5"/>
      <c r="H80" s="5"/>
      <c r="I80" s="5"/>
      <c r="J80" s="5"/>
      <c r="K80" s="5"/>
    </row>
    <row r="81" spans="2:11" ht="36" x14ac:dyDescent="0.25">
      <c r="B81" s="1046"/>
      <c r="C81" s="92"/>
      <c r="D81" s="45" t="s">
        <v>353</v>
      </c>
      <c r="E81" s="5"/>
      <c r="F81" s="5"/>
      <c r="G81" s="5"/>
      <c r="H81" s="5"/>
      <c r="I81" s="5"/>
      <c r="J81" s="5"/>
      <c r="K81" s="5"/>
    </row>
    <row r="82" spans="2:11" ht="36" x14ac:dyDescent="0.25">
      <c r="B82" s="1046"/>
      <c r="C82" s="92"/>
      <c r="D82" s="45" t="s">
        <v>534</v>
      </c>
      <c r="E82" s="5"/>
      <c r="F82" s="5"/>
      <c r="G82" s="5"/>
      <c r="H82" s="5"/>
      <c r="I82" s="5"/>
      <c r="J82" s="5"/>
      <c r="K82" s="5"/>
    </row>
    <row r="83" spans="2:11" ht="84.75" thickBot="1" x14ac:dyDescent="0.3">
      <c r="B83" s="1047"/>
      <c r="C83" s="2"/>
      <c r="D83" s="40" t="s">
        <v>535</v>
      </c>
      <c r="E83" s="5"/>
      <c r="F83" s="5"/>
      <c r="G83" s="5"/>
      <c r="H83" s="5"/>
      <c r="I83" s="5"/>
      <c r="J83" s="5"/>
      <c r="K83" s="5"/>
    </row>
    <row r="84" spans="2:11" ht="24.75" thickBot="1" x14ac:dyDescent="0.3">
      <c r="B84" s="46" t="s">
        <v>72</v>
      </c>
      <c r="C84" s="2"/>
      <c r="D84" s="40"/>
      <c r="E84" s="5"/>
      <c r="F84" s="5"/>
      <c r="G84" s="5"/>
      <c r="H84" s="5"/>
      <c r="I84" s="5"/>
      <c r="J84" s="5"/>
      <c r="K84" s="5"/>
    </row>
    <row r="85" spans="2:11" ht="84" x14ac:dyDescent="0.25">
      <c r="B85" s="1045" t="s">
        <v>73</v>
      </c>
      <c r="C85" s="92"/>
      <c r="D85" s="45" t="s">
        <v>536</v>
      </c>
      <c r="E85" s="5"/>
      <c r="F85" s="5"/>
      <c r="G85" s="5"/>
      <c r="H85" s="5"/>
      <c r="I85" s="5"/>
      <c r="J85" s="5"/>
      <c r="K85" s="5"/>
    </row>
    <row r="86" spans="2:11" ht="96" x14ac:dyDescent="0.25">
      <c r="B86" s="1046"/>
      <c r="C86" s="92"/>
      <c r="D86" s="45" t="s">
        <v>537</v>
      </c>
      <c r="E86" s="5"/>
      <c r="F86" s="5"/>
      <c r="G86" s="5"/>
      <c r="H86" s="5"/>
      <c r="I86" s="5"/>
      <c r="J86" s="5"/>
      <c r="K86" s="5"/>
    </row>
    <row r="87" spans="2:11" ht="132" x14ac:dyDescent="0.25">
      <c r="B87" s="1046"/>
      <c r="C87" s="92"/>
      <c r="D87" s="45" t="s">
        <v>538</v>
      </c>
      <c r="E87" s="5"/>
      <c r="F87" s="5"/>
      <c r="G87" s="5"/>
      <c r="H87" s="5"/>
      <c r="I87" s="5"/>
      <c r="J87" s="5"/>
      <c r="K87" s="5"/>
    </row>
    <row r="88" spans="2:11" ht="144.75" thickBot="1" x14ac:dyDescent="0.3">
      <c r="B88" s="1047"/>
      <c r="C88" s="2"/>
      <c r="D88" s="40" t="s">
        <v>539</v>
      </c>
      <c r="E88" s="5"/>
      <c r="F88" s="5"/>
      <c r="G88" s="5"/>
      <c r="H88" s="5"/>
      <c r="I88" s="5"/>
      <c r="J88" s="5"/>
      <c r="K88" s="5"/>
    </row>
    <row r="89" spans="2:11" ht="24" x14ac:dyDescent="0.25">
      <c r="B89" s="1045" t="s">
        <v>90</v>
      </c>
      <c r="C89" s="92"/>
      <c r="D89" s="52" t="s">
        <v>526</v>
      </c>
      <c r="E89" s="5"/>
      <c r="F89" s="5"/>
      <c r="G89" s="5"/>
      <c r="H89" s="5"/>
      <c r="I89" s="5"/>
      <c r="J89" s="5"/>
      <c r="K89" s="5"/>
    </row>
    <row r="90" spans="2:11" x14ac:dyDescent="0.25">
      <c r="B90" s="1046"/>
      <c r="C90" s="92"/>
      <c r="D90" s="45" t="s">
        <v>497</v>
      </c>
      <c r="E90" s="5"/>
      <c r="F90" s="5"/>
      <c r="G90" s="5"/>
      <c r="H90" s="5"/>
      <c r="I90" s="5"/>
      <c r="J90" s="5"/>
      <c r="K90" s="5"/>
    </row>
    <row r="91" spans="2:11" x14ac:dyDescent="0.25">
      <c r="B91" s="1046"/>
      <c r="C91" s="92"/>
      <c r="D91" s="45" t="s">
        <v>91</v>
      </c>
      <c r="E91" s="5"/>
      <c r="F91" s="5"/>
      <c r="G91" s="5"/>
      <c r="H91" s="5"/>
      <c r="I91" s="5"/>
      <c r="J91" s="5"/>
      <c r="K91" s="5"/>
    </row>
    <row r="92" spans="2:11" ht="37.5" x14ac:dyDescent="0.25">
      <c r="B92" s="1046"/>
      <c r="C92" s="92"/>
      <c r="D92" s="45" t="s">
        <v>540</v>
      </c>
      <c r="E92" s="5"/>
      <c r="F92" s="5"/>
      <c r="G92" s="5"/>
      <c r="H92" s="5"/>
      <c r="I92" s="5"/>
      <c r="J92" s="5"/>
      <c r="K92" s="5"/>
    </row>
    <row r="93" spans="2:11" ht="37.5" x14ac:dyDescent="0.25">
      <c r="B93" s="1046"/>
      <c r="C93" s="92"/>
      <c r="D93" s="45" t="s">
        <v>541</v>
      </c>
      <c r="E93" s="5"/>
      <c r="F93" s="5"/>
      <c r="G93" s="5"/>
      <c r="H93" s="5"/>
      <c r="I93" s="5"/>
      <c r="J93" s="5"/>
      <c r="K93" s="5"/>
    </row>
    <row r="94" spans="2:11" ht="37.5" x14ac:dyDescent="0.25">
      <c r="B94" s="1046"/>
      <c r="C94" s="92"/>
      <c r="D94" s="45" t="s">
        <v>542</v>
      </c>
      <c r="E94" s="5"/>
      <c r="F94" s="5"/>
      <c r="G94" s="5"/>
      <c r="H94" s="5"/>
      <c r="I94" s="5"/>
      <c r="J94" s="5"/>
      <c r="K94" s="5"/>
    </row>
    <row r="95" spans="2:11" ht="84" x14ac:dyDescent="0.25">
      <c r="B95" s="1046"/>
      <c r="C95" s="92"/>
      <c r="D95" s="53" t="s">
        <v>235</v>
      </c>
      <c r="E95" s="5"/>
      <c r="F95" s="5"/>
      <c r="G95" s="5"/>
      <c r="H95" s="5"/>
      <c r="I95" s="5"/>
      <c r="J95" s="5"/>
      <c r="K95" s="5"/>
    </row>
    <row r="96" spans="2:11" x14ac:dyDescent="0.25">
      <c r="B96" s="1046"/>
      <c r="C96" s="92"/>
      <c r="D96" s="52" t="s">
        <v>246</v>
      </c>
      <c r="E96" s="5"/>
      <c r="F96" s="5"/>
      <c r="G96" s="5"/>
      <c r="H96" s="5"/>
      <c r="I96" s="5"/>
      <c r="J96" s="5"/>
      <c r="K96" s="5"/>
    </row>
    <row r="97" spans="2:11" ht="24" x14ac:dyDescent="0.25">
      <c r="B97" s="1046"/>
      <c r="C97" s="92"/>
      <c r="D97" s="52" t="s">
        <v>543</v>
      </c>
      <c r="E97" s="5"/>
      <c r="F97" s="5"/>
      <c r="G97" s="5"/>
      <c r="H97" s="5"/>
      <c r="I97" s="5"/>
      <c r="J97" s="5"/>
      <c r="K97" s="5"/>
    </row>
    <row r="98" spans="2:11" x14ac:dyDescent="0.25">
      <c r="B98" s="1046"/>
      <c r="C98" s="92"/>
      <c r="D98" s="16"/>
      <c r="E98" s="5"/>
      <c r="F98" s="5"/>
      <c r="G98" s="5"/>
      <c r="H98" s="5"/>
      <c r="I98" s="5"/>
      <c r="J98" s="5"/>
      <c r="K98" s="5"/>
    </row>
    <row r="99" spans="2:11" x14ac:dyDescent="0.25">
      <c r="B99" s="1046"/>
      <c r="C99" s="92"/>
      <c r="D99" s="45" t="s">
        <v>91</v>
      </c>
      <c r="E99" s="5"/>
      <c r="F99" s="5"/>
      <c r="G99" s="5"/>
      <c r="H99" s="5"/>
      <c r="I99" s="5"/>
      <c r="J99" s="5"/>
      <c r="K99" s="5"/>
    </row>
    <row r="100" spans="2:11" ht="49.5" x14ac:dyDescent="0.25">
      <c r="B100" s="1046"/>
      <c r="C100" s="92"/>
      <c r="D100" s="45" t="s">
        <v>544</v>
      </c>
      <c r="E100" s="5"/>
      <c r="F100" s="5"/>
      <c r="G100" s="5"/>
      <c r="H100" s="5"/>
      <c r="I100" s="5"/>
      <c r="J100" s="5"/>
      <c r="K100" s="5"/>
    </row>
    <row r="101" spans="2:11" ht="50.25" thickBot="1" x14ac:dyDescent="0.3">
      <c r="B101" s="1047"/>
      <c r="C101" s="2"/>
      <c r="D101" s="40" t="s">
        <v>545</v>
      </c>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sheetProtection insertRows="0"/>
  <mergeCells count="38">
    <mergeCell ref="B10:D10"/>
    <mergeCell ref="F10:S10"/>
    <mergeCell ref="F11:S11"/>
    <mergeCell ref="E12:R12"/>
    <mergeCell ref="E13:R13"/>
    <mergeCell ref="B71:B83"/>
    <mergeCell ref="B85:B88"/>
    <mergeCell ref="B89:B101"/>
    <mergeCell ref="D16:D17"/>
    <mergeCell ref="E16:G16"/>
    <mergeCell ref="D38:L38"/>
    <mergeCell ref="D39:L39"/>
    <mergeCell ref="B41:E41"/>
    <mergeCell ref="B42:B48"/>
    <mergeCell ref="B50:E50"/>
    <mergeCell ref="B51:B57"/>
    <mergeCell ref="B64:D65"/>
    <mergeCell ref="K26:K27"/>
    <mergeCell ref="B15:B37"/>
    <mergeCell ref="D15:L15"/>
    <mergeCell ref="D22:L22"/>
    <mergeCell ref="D23:L23"/>
    <mergeCell ref="D24:L24"/>
    <mergeCell ref="D25:L25"/>
    <mergeCell ref="K16:K17"/>
    <mergeCell ref="C26:C27"/>
    <mergeCell ref="D26:D27"/>
    <mergeCell ref="E26:E27"/>
    <mergeCell ref="F26:F27"/>
    <mergeCell ref="G26:G27"/>
    <mergeCell ref="J26:J27"/>
    <mergeCell ref="H16:J16"/>
    <mergeCell ref="L26:L27"/>
    <mergeCell ref="A1:P1"/>
    <mergeCell ref="A2:P2"/>
    <mergeCell ref="A3:P3"/>
    <mergeCell ref="A4:D4"/>
    <mergeCell ref="A5:P5"/>
  </mergeCells>
  <conditionalFormatting sqref="F10">
    <cfRule type="notContainsBlanks" dxfId="74" priority="6">
      <formula>LEN(TRIM(F10))&gt;0</formula>
    </cfRule>
  </conditionalFormatting>
  <conditionalFormatting sqref="F11:S11">
    <cfRule type="expression" dxfId="73" priority="4">
      <formula>E11="NO SE REPORTA"</formula>
    </cfRule>
    <cfRule type="expression" dxfId="72" priority="5">
      <formula>E10="NO APLICA"</formula>
    </cfRule>
  </conditionalFormatting>
  <conditionalFormatting sqref="E12:R12">
    <cfRule type="expression" dxfId="7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8:F20 H18:I20">
      <formula1>0</formula1>
    </dataValidation>
    <dataValidation type="whole" operator="greaterThanOrEqual" allowBlank="1" showInputMessage="1" showErrorMessage="1" errorTitle="ERROR" error="Valor en PESOS (sin centavos)" sqref="H30:K36 I29:K29 H28:K28">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46" r:id="rId1"/>
  </hyperlinks>
  <pageMargins left="0.25" right="0.25" top="0.75" bottom="0.75" header="0.3" footer="0.3"/>
  <pageSetup paperSize="178" orientation="landscape" horizontalDpi="1200" vertic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zoomScale="98" zoomScaleNormal="98" workbookViewId="0">
      <selection activeCell="O19" sqref="O19"/>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7" max="10" width="11.85546875" bestFit="1"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557</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4"/>
      <c r="D7" s="5"/>
      <c r="E7" s="17"/>
      <c r="F7" s="5" t="s">
        <v>129</v>
      </c>
      <c r="G7" s="5"/>
      <c r="H7" s="5"/>
      <c r="I7" s="5"/>
      <c r="J7" s="5"/>
      <c r="K7" s="5"/>
    </row>
    <row r="8" spans="1:21" ht="15.75" thickBot="1" x14ac:dyDescent="0.3">
      <c r="B8" s="170" t="s">
        <v>1192</v>
      </c>
      <c r="C8" s="209">
        <v>2022</v>
      </c>
      <c r="D8" s="305">
        <f>IF(E10="NO APLICA","NO APLICA",IF(E11="NO SE REPORTA","SIN INFORMACION",+G22))</f>
        <v>1</v>
      </c>
      <c r="E8" s="210"/>
      <c r="F8" s="5" t="s">
        <v>130</v>
      </c>
      <c r="G8" s="5"/>
      <c r="H8" s="5"/>
      <c r="I8" s="5"/>
      <c r="J8" s="5"/>
      <c r="K8" s="5"/>
    </row>
    <row r="9" spans="1:21" x14ac:dyDescent="0.25">
      <c r="B9" s="363" t="s">
        <v>1193</v>
      </c>
      <c r="C9" s="86"/>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1854</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t="s">
        <v>2048</v>
      </c>
      <c r="F13" s="1020"/>
      <c r="G13" s="1020"/>
      <c r="H13" s="1020"/>
      <c r="I13" s="1020"/>
      <c r="J13" s="1020"/>
      <c r="K13" s="1020"/>
      <c r="L13" s="1020"/>
      <c r="M13" s="1020"/>
      <c r="N13" s="1020"/>
      <c r="O13" s="1020"/>
      <c r="P13" s="1020"/>
      <c r="Q13" s="1020"/>
      <c r="R13" s="1021"/>
    </row>
    <row r="14" spans="1:21" ht="7.15" customHeight="1" thickBot="1" x14ac:dyDescent="0.3">
      <c r="B14" s="363"/>
      <c r="C14" s="86"/>
      <c r="D14" s="5"/>
      <c r="E14" s="5"/>
      <c r="F14" s="5"/>
      <c r="G14" s="5"/>
      <c r="H14" s="5"/>
      <c r="I14" s="5"/>
      <c r="J14" s="5"/>
      <c r="K14" s="5"/>
    </row>
    <row r="15" spans="1:21" ht="15.6" customHeight="1" thickTop="1" thickBot="1" x14ac:dyDescent="0.3">
      <c r="B15" s="1123" t="s">
        <v>2</v>
      </c>
      <c r="C15" s="87"/>
      <c r="D15" s="1036" t="s">
        <v>336</v>
      </c>
      <c r="E15" s="1037"/>
      <c r="F15" s="1037"/>
      <c r="G15" s="1037"/>
      <c r="H15" s="1037"/>
      <c r="I15" s="1037"/>
      <c r="J15" s="1037"/>
      <c r="K15" s="1038"/>
    </row>
    <row r="16" spans="1:21" ht="15.75" thickBot="1" x14ac:dyDescent="0.3">
      <c r="B16" s="1124"/>
      <c r="C16" s="92"/>
      <c r="D16" s="42" t="s">
        <v>150</v>
      </c>
      <c r="E16" s="65" t="s">
        <v>20</v>
      </c>
      <c r="F16" s="65" t="s">
        <v>21</v>
      </c>
      <c r="G16" s="65" t="s">
        <v>22</v>
      </c>
      <c r="H16" s="304" t="s">
        <v>23</v>
      </c>
      <c r="I16" s="303"/>
      <c r="J16" s="5"/>
      <c r="K16" s="21"/>
    </row>
    <row r="17" spans="2:11" ht="36.75" thickBot="1" x14ac:dyDescent="0.3">
      <c r="B17" s="1124"/>
      <c r="C17" s="92"/>
      <c r="D17" s="40" t="s">
        <v>576</v>
      </c>
      <c r="E17" s="184">
        <v>45</v>
      </c>
      <c r="F17" s="184">
        <v>39</v>
      </c>
      <c r="G17" s="184">
        <v>40</v>
      </c>
      <c r="H17" s="184">
        <v>41</v>
      </c>
      <c r="I17" s="303"/>
      <c r="J17" s="5"/>
      <c r="K17" s="21"/>
    </row>
    <row r="18" spans="2:11" ht="24.75" thickBot="1" x14ac:dyDescent="0.3">
      <c r="B18" s="1124"/>
      <c r="C18" s="92"/>
      <c r="D18" s="40" t="s">
        <v>577</v>
      </c>
      <c r="E18" s="184"/>
      <c r="F18" s="184"/>
      <c r="G18" s="184"/>
      <c r="H18" s="337"/>
      <c r="I18" s="303"/>
      <c r="J18" s="5"/>
      <c r="K18" s="21"/>
    </row>
    <row r="19" spans="2:11" ht="15.75" thickBot="1" x14ac:dyDescent="0.3">
      <c r="B19" s="1124"/>
      <c r="C19" s="92"/>
      <c r="D19" s="40" t="s">
        <v>578</v>
      </c>
      <c r="E19" s="184"/>
      <c r="F19" s="184"/>
      <c r="G19" s="184"/>
      <c r="H19" s="337"/>
      <c r="I19" s="303"/>
      <c r="J19" s="5"/>
      <c r="K19" s="21"/>
    </row>
    <row r="20" spans="2:11" ht="15.75" thickBot="1" x14ac:dyDescent="0.3">
      <c r="B20" s="1124"/>
      <c r="C20" s="92"/>
      <c r="D20" s="40" t="s">
        <v>579</v>
      </c>
      <c r="E20" s="184">
        <v>0</v>
      </c>
      <c r="F20" s="184">
        <v>39</v>
      </c>
      <c r="G20" s="184">
        <v>40</v>
      </c>
      <c r="H20" s="337"/>
      <c r="I20" s="303"/>
      <c r="J20" s="5"/>
      <c r="K20" s="21"/>
    </row>
    <row r="21" spans="2:11" ht="15.75" thickBot="1" x14ac:dyDescent="0.3">
      <c r="B21" s="1124"/>
      <c r="C21" s="92"/>
      <c r="D21" s="40" t="s">
        <v>151</v>
      </c>
      <c r="E21" s="137">
        <f>SUM(E18:E20)</f>
        <v>0</v>
      </c>
      <c r="F21" s="137">
        <f>SUM(F18:F20)</f>
        <v>39</v>
      </c>
      <c r="G21" s="137">
        <f>SUM(G18:G20)</f>
        <v>40</v>
      </c>
      <c r="H21" s="137">
        <f>SUM(H18:H20)</f>
        <v>0</v>
      </c>
      <c r="I21" s="303"/>
      <c r="J21" s="5"/>
      <c r="K21" s="21"/>
    </row>
    <row r="22" spans="2:11" ht="36.75" thickBot="1" x14ac:dyDescent="0.3">
      <c r="B22" s="1124"/>
      <c r="C22" s="99"/>
      <c r="D22" s="51" t="s">
        <v>557</v>
      </c>
      <c r="E22" s="138">
        <f>+E21/E17</f>
        <v>0</v>
      </c>
      <c r="F22" s="138">
        <f>+F21/F17</f>
        <v>1</v>
      </c>
      <c r="G22" s="138">
        <f>+G21/G17</f>
        <v>1</v>
      </c>
      <c r="H22" s="138">
        <f>+H21/H17</f>
        <v>0</v>
      </c>
      <c r="I22" s="303"/>
      <c r="J22" s="5"/>
      <c r="K22" s="21"/>
    </row>
    <row r="23" spans="2:11" x14ac:dyDescent="0.25">
      <c r="B23" s="1124"/>
      <c r="C23" s="90"/>
      <c r="D23" s="1039" t="s">
        <v>246</v>
      </c>
      <c r="E23" s="1040"/>
      <c r="F23" s="1040"/>
      <c r="G23" s="1040"/>
      <c r="H23" s="1040"/>
      <c r="I23" s="1040"/>
      <c r="J23" s="1040"/>
      <c r="K23" s="1041"/>
    </row>
    <row r="24" spans="2:11" x14ac:dyDescent="0.25">
      <c r="B24" s="1124"/>
      <c r="C24" s="90"/>
      <c r="D24" s="1039" t="s">
        <v>580</v>
      </c>
      <c r="E24" s="1040"/>
      <c r="F24" s="1040"/>
      <c r="G24" s="1040"/>
      <c r="H24" s="1040"/>
      <c r="I24" s="1040"/>
      <c r="J24" s="1040"/>
      <c r="K24" s="1041"/>
    </row>
    <row r="25" spans="2:11" ht="15.75" thickBot="1" x14ac:dyDescent="0.3">
      <c r="B25" s="1124"/>
      <c r="C25" s="90"/>
      <c r="D25" s="1051" t="s">
        <v>340</v>
      </c>
      <c r="E25" s="1052"/>
      <c r="F25" s="1052"/>
      <c r="G25" s="1052"/>
      <c r="H25" s="1052"/>
      <c r="I25" s="1052"/>
      <c r="J25" s="1052"/>
      <c r="K25" s="1053"/>
    </row>
    <row r="26" spans="2:11" ht="57" thickBot="1" x14ac:dyDescent="0.3">
      <c r="B26" s="216"/>
      <c r="C26" s="96" t="s">
        <v>19</v>
      </c>
      <c r="D26" s="65" t="s">
        <v>270</v>
      </c>
      <c r="E26" s="65" t="s">
        <v>581</v>
      </c>
      <c r="F26" s="65" t="s">
        <v>582</v>
      </c>
      <c r="G26" s="65" t="s">
        <v>343</v>
      </c>
      <c r="H26" s="65" t="s">
        <v>344</v>
      </c>
      <c r="I26" s="65" t="s">
        <v>274</v>
      </c>
      <c r="J26" s="65" t="s">
        <v>275</v>
      </c>
      <c r="K26" s="65" t="s">
        <v>55</v>
      </c>
    </row>
    <row r="27" spans="2:11" ht="57.2" customHeight="1" thickBot="1" x14ac:dyDescent="0.3">
      <c r="B27" s="216"/>
      <c r="C27" s="2">
        <v>1</v>
      </c>
      <c r="D27" s="29" t="s">
        <v>1908</v>
      </c>
      <c r="E27" s="30" t="s">
        <v>1909</v>
      </c>
      <c r="F27" s="205">
        <v>34</v>
      </c>
      <c r="G27" s="205">
        <v>40781172379</v>
      </c>
      <c r="H27" s="205">
        <v>40781172379</v>
      </c>
      <c r="I27" s="205">
        <v>40734120648</v>
      </c>
      <c r="J27" s="205">
        <v>39344272384</v>
      </c>
      <c r="K27" s="184" t="s">
        <v>2049</v>
      </c>
    </row>
    <row r="28" spans="2:11" ht="57.2" customHeight="1" thickBot="1" x14ac:dyDescent="0.3">
      <c r="B28" s="216"/>
      <c r="C28" s="2">
        <v>2</v>
      </c>
      <c r="D28" s="29" t="s">
        <v>2047</v>
      </c>
      <c r="E28" s="30" t="s">
        <v>1909</v>
      </c>
      <c r="F28" s="205">
        <v>42</v>
      </c>
      <c r="G28" s="205">
        <v>12900605538</v>
      </c>
      <c r="H28" s="205">
        <v>12900605538</v>
      </c>
      <c r="I28" s="205">
        <v>12900605538</v>
      </c>
      <c r="J28" s="205">
        <v>12754404734</v>
      </c>
      <c r="K28" s="184" t="s">
        <v>2050</v>
      </c>
    </row>
    <row r="29" spans="2:11" ht="82.9" customHeight="1" thickBot="1" x14ac:dyDescent="0.3">
      <c r="B29" s="216"/>
      <c r="C29" s="2">
        <v>3</v>
      </c>
      <c r="D29" s="29"/>
      <c r="E29" s="30"/>
      <c r="F29" s="205"/>
      <c r="G29" s="205"/>
      <c r="H29" s="205"/>
      <c r="I29" s="205"/>
      <c r="J29" s="205"/>
      <c r="K29" s="184"/>
    </row>
    <row r="30" spans="2:11" ht="15.75" thickBot="1" x14ac:dyDescent="0.3">
      <c r="B30" s="216"/>
      <c r="C30" s="2">
        <v>4</v>
      </c>
      <c r="D30" s="30"/>
      <c r="E30" s="30"/>
      <c r="F30" s="205"/>
      <c r="G30" s="205"/>
      <c r="H30" s="205"/>
      <c r="I30" s="205"/>
      <c r="J30" s="205"/>
      <c r="K30" s="205"/>
    </row>
    <row r="31" spans="2:11" ht="15.75" thickBot="1" x14ac:dyDescent="0.3">
      <c r="B31" s="216"/>
      <c r="C31" s="2">
        <v>5</v>
      </c>
      <c r="D31" s="30"/>
      <c r="E31" s="30"/>
      <c r="F31" s="205"/>
      <c r="G31" s="205"/>
      <c r="H31" s="205"/>
      <c r="I31" s="205"/>
      <c r="J31" s="205"/>
      <c r="K31" s="205"/>
    </row>
    <row r="32" spans="2:11" ht="15.75" thickBot="1" x14ac:dyDescent="0.3">
      <c r="B32" s="216"/>
      <c r="C32" s="2">
        <v>6</v>
      </c>
      <c r="D32" s="30"/>
      <c r="E32" s="30"/>
      <c r="F32" s="205"/>
      <c r="G32" s="205"/>
      <c r="H32" s="205"/>
      <c r="I32" s="205"/>
      <c r="J32" s="205"/>
      <c r="K32" s="205"/>
    </row>
    <row r="33" spans="2:11" ht="15.75" thickBot="1" x14ac:dyDescent="0.3">
      <c r="B33" s="46"/>
      <c r="C33" s="2"/>
      <c r="D33" s="40" t="s">
        <v>151</v>
      </c>
      <c r="E33" s="40"/>
      <c r="F33" s="133">
        <f>SUM(F27:F32)</f>
        <v>76</v>
      </c>
      <c r="G33" s="133">
        <f>SUM(G27:G32)</f>
        <v>53681777917</v>
      </c>
      <c r="H33" s="133">
        <f>SUM(H27:H32)</f>
        <v>53681777917</v>
      </c>
      <c r="I33" s="133">
        <f>SUM(I27:I32)</f>
        <v>53634726186</v>
      </c>
      <c r="J33" s="133">
        <f>SUM(J27:J32)</f>
        <v>52098677118</v>
      </c>
      <c r="K33" s="205"/>
    </row>
    <row r="34" spans="2:11" ht="24" customHeight="1" thickBot="1" x14ac:dyDescent="0.3">
      <c r="B34" s="71" t="s">
        <v>34</v>
      </c>
      <c r="C34" s="105"/>
      <c r="D34" s="1048" t="s">
        <v>583</v>
      </c>
      <c r="E34" s="1049"/>
      <c r="F34" s="1049"/>
      <c r="G34" s="1049"/>
      <c r="H34" s="1049"/>
      <c r="I34" s="1049"/>
      <c r="J34" s="1049"/>
      <c r="K34" s="1050"/>
    </row>
    <row r="35" spans="2:11" ht="24" customHeight="1" thickBot="1" x14ac:dyDescent="0.3">
      <c r="B35" s="71" t="s">
        <v>36</v>
      </c>
      <c r="C35" s="105"/>
      <c r="D35" s="1048" t="s">
        <v>346</v>
      </c>
      <c r="E35" s="1049"/>
      <c r="F35" s="1049"/>
      <c r="G35" s="1049"/>
      <c r="H35" s="1049"/>
      <c r="I35" s="1049"/>
      <c r="J35" s="1049"/>
      <c r="K35" s="1050"/>
    </row>
    <row r="36" spans="2:11" ht="15.75" thickBot="1" x14ac:dyDescent="0.3">
      <c r="B36" s="1"/>
      <c r="C36" s="74"/>
      <c r="D36" s="5"/>
      <c r="E36" s="5"/>
      <c r="F36" s="5"/>
      <c r="G36" s="5"/>
      <c r="H36" s="5"/>
      <c r="I36" s="5"/>
      <c r="J36" s="5"/>
      <c r="K36" s="5"/>
    </row>
    <row r="37" spans="2:11" ht="24" customHeight="1" thickBot="1" x14ac:dyDescent="0.3">
      <c r="B37" s="1054" t="s">
        <v>38</v>
      </c>
      <c r="C37" s="1055"/>
      <c r="D37" s="1055"/>
      <c r="E37" s="1056"/>
      <c r="F37" s="5"/>
      <c r="G37" s="5"/>
      <c r="H37" s="5"/>
      <c r="I37" s="5"/>
      <c r="J37" s="5"/>
      <c r="K37" s="5"/>
    </row>
    <row r="38" spans="2:11" ht="15.75" thickBot="1" x14ac:dyDescent="0.3">
      <c r="B38" s="1045">
        <v>1</v>
      </c>
      <c r="C38" s="92"/>
      <c r="D38" s="47" t="s">
        <v>39</v>
      </c>
      <c r="E38" s="30" t="s">
        <v>1771</v>
      </c>
      <c r="F38" s="5"/>
      <c r="G38" s="5"/>
      <c r="H38" s="5"/>
      <c r="I38" s="5"/>
      <c r="J38" s="5"/>
      <c r="K38" s="5"/>
    </row>
    <row r="39" spans="2:11" ht="15.75" thickBot="1" x14ac:dyDescent="0.3">
      <c r="B39" s="1046"/>
      <c r="C39" s="92"/>
      <c r="D39" s="40" t="s">
        <v>40</v>
      </c>
      <c r="E39" s="30" t="s">
        <v>1772</v>
      </c>
      <c r="F39" s="5"/>
      <c r="G39" s="5"/>
      <c r="H39" s="5"/>
      <c r="I39" s="5"/>
      <c r="J39" s="5"/>
      <c r="K39" s="5"/>
    </row>
    <row r="40" spans="2:11" ht="15.75" thickBot="1" x14ac:dyDescent="0.3">
      <c r="B40" s="1046"/>
      <c r="C40" s="92"/>
      <c r="D40" s="40" t="s">
        <v>41</v>
      </c>
      <c r="E40" s="30" t="s">
        <v>1780</v>
      </c>
      <c r="F40" s="5"/>
      <c r="G40" s="5"/>
      <c r="H40" s="5"/>
      <c r="I40" s="5"/>
      <c r="J40" s="5"/>
      <c r="K40" s="5"/>
    </row>
    <row r="41" spans="2:11" ht="15.75" thickBot="1" x14ac:dyDescent="0.3">
      <c r="B41" s="1046"/>
      <c r="C41" s="92"/>
      <c r="D41" s="40" t="s">
        <v>42</v>
      </c>
      <c r="E41" s="30" t="s">
        <v>1494</v>
      </c>
      <c r="F41" s="5"/>
      <c r="G41" s="5"/>
      <c r="H41" s="5"/>
      <c r="I41" s="5"/>
      <c r="J41" s="5"/>
      <c r="K41" s="5"/>
    </row>
    <row r="42" spans="2:11" ht="15.75" thickBot="1" x14ac:dyDescent="0.3">
      <c r="B42" s="1046"/>
      <c r="C42" s="92"/>
      <c r="D42" s="40" t="s">
        <v>43</v>
      </c>
      <c r="E42" s="30" t="s">
        <v>1781</v>
      </c>
      <c r="F42" s="5"/>
      <c r="G42" s="5"/>
      <c r="H42" s="5"/>
      <c r="I42" s="5"/>
      <c r="J42" s="5"/>
      <c r="K42" s="5"/>
    </row>
    <row r="43" spans="2:11" ht="15.75" thickBot="1" x14ac:dyDescent="0.3">
      <c r="B43" s="1046"/>
      <c r="C43" s="92"/>
      <c r="D43" s="40" t="s">
        <v>44</v>
      </c>
      <c r="E43" s="30">
        <v>4380200</v>
      </c>
      <c r="F43" s="5"/>
      <c r="G43" s="5"/>
      <c r="H43" s="5"/>
      <c r="I43" s="5"/>
      <c r="J43" s="5"/>
      <c r="K43" s="5"/>
    </row>
    <row r="44" spans="2:11" ht="15.75" thickBot="1" x14ac:dyDescent="0.3">
      <c r="B44" s="1047"/>
      <c r="C44" s="2"/>
      <c r="D44" s="40" t="s">
        <v>45</v>
      </c>
      <c r="E44" s="30" t="s">
        <v>1773</v>
      </c>
      <c r="F44" s="5"/>
      <c r="G44" s="5"/>
      <c r="H44" s="5"/>
      <c r="I44" s="5"/>
      <c r="J44" s="5"/>
      <c r="K44" s="5"/>
    </row>
    <row r="45" spans="2:11" ht="15.75" thickBot="1" x14ac:dyDescent="0.3">
      <c r="B45" s="1"/>
      <c r="C45" s="74"/>
      <c r="D45" s="5"/>
      <c r="E45" s="5"/>
      <c r="F45" s="5"/>
      <c r="G45" s="5"/>
      <c r="H45" s="5"/>
      <c r="I45" s="5"/>
      <c r="J45" s="5"/>
      <c r="K45" s="5"/>
    </row>
    <row r="46" spans="2:11" ht="15.75" thickBot="1" x14ac:dyDescent="0.3">
      <c r="B46" s="1054" t="s">
        <v>46</v>
      </c>
      <c r="C46" s="1055"/>
      <c r="D46" s="1055"/>
      <c r="E46" s="1056"/>
      <c r="F46" s="5"/>
      <c r="G46" s="5"/>
      <c r="H46" s="5"/>
      <c r="I46" s="5"/>
      <c r="J46" s="5"/>
      <c r="K46" s="5"/>
    </row>
    <row r="47" spans="2:11" ht="15.75" thickBot="1" x14ac:dyDescent="0.3">
      <c r="B47" s="1045">
        <v>1</v>
      </c>
      <c r="C47" s="92"/>
      <c r="D47" s="47" t="s">
        <v>39</v>
      </c>
      <c r="E47" s="217" t="s">
        <v>47</v>
      </c>
      <c r="F47" s="5"/>
      <c r="G47" s="5"/>
      <c r="H47" s="5"/>
      <c r="I47" s="5"/>
      <c r="J47" s="5"/>
      <c r="K47" s="5"/>
    </row>
    <row r="48" spans="2:11" ht="15.75" thickBot="1" x14ac:dyDescent="0.3">
      <c r="B48" s="1046"/>
      <c r="C48" s="92"/>
      <c r="D48" s="40" t="s">
        <v>40</v>
      </c>
      <c r="E48" s="217" t="s">
        <v>160</v>
      </c>
      <c r="F48" s="5"/>
      <c r="G48" s="5"/>
      <c r="H48" s="5"/>
      <c r="I48" s="5"/>
      <c r="J48" s="5"/>
      <c r="K48" s="5"/>
    </row>
    <row r="49" spans="2:11" ht="15.75" thickBot="1" x14ac:dyDescent="0.3">
      <c r="B49" s="1046"/>
      <c r="C49" s="92"/>
      <c r="D49" s="40" t="s">
        <v>41</v>
      </c>
      <c r="E49" s="237"/>
      <c r="F49" s="5"/>
      <c r="G49" s="5"/>
      <c r="H49" s="5"/>
      <c r="I49" s="5"/>
      <c r="J49" s="5"/>
      <c r="K49" s="5"/>
    </row>
    <row r="50" spans="2:11" ht="15.75" thickBot="1" x14ac:dyDescent="0.3">
      <c r="B50" s="1046"/>
      <c r="C50" s="92"/>
      <c r="D50" s="40" t="s">
        <v>42</v>
      </c>
      <c r="E50" s="237"/>
      <c r="F50" s="5"/>
      <c r="G50" s="5"/>
      <c r="H50" s="5"/>
      <c r="I50" s="5"/>
      <c r="J50" s="5"/>
      <c r="K50" s="5"/>
    </row>
    <row r="51" spans="2:11" ht="15.75" thickBot="1" x14ac:dyDescent="0.3">
      <c r="B51" s="1046"/>
      <c r="C51" s="92"/>
      <c r="D51" s="40" t="s">
        <v>43</v>
      </c>
      <c r="E51" s="237"/>
      <c r="F51" s="5"/>
      <c r="G51" s="5"/>
      <c r="H51" s="5"/>
      <c r="I51" s="5"/>
      <c r="J51" s="5"/>
      <c r="K51" s="5"/>
    </row>
    <row r="52" spans="2:11" ht="15.75" thickBot="1" x14ac:dyDescent="0.3">
      <c r="B52" s="1046"/>
      <c r="C52" s="92"/>
      <c r="D52" s="40" t="s">
        <v>44</v>
      </c>
      <c r="E52" s="237"/>
      <c r="F52" s="5"/>
      <c r="G52" s="5"/>
      <c r="H52" s="5"/>
      <c r="I52" s="5"/>
      <c r="J52" s="5"/>
      <c r="K52" s="5"/>
    </row>
    <row r="53" spans="2:11" ht="15.75" thickBot="1" x14ac:dyDescent="0.3">
      <c r="B53" s="1047"/>
      <c r="C53" s="2"/>
      <c r="D53" s="40" t="s">
        <v>45</v>
      </c>
      <c r="E53" s="237"/>
      <c r="F53" s="5"/>
      <c r="G53" s="5"/>
      <c r="H53" s="5"/>
      <c r="I53" s="5"/>
      <c r="J53" s="5"/>
      <c r="K53" s="5"/>
    </row>
    <row r="54" spans="2:11" ht="15.75" thickBot="1" x14ac:dyDescent="0.3">
      <c r="B54" s="1"/>
      <c r="C54" s="74"/>
      <c r="D54" s="5"/>
      <c r="E54" s="5"/>
      <c r="F54" s="5"/>
      <c r="G54" s="5"/>
      <c r="H54" s="5"/>
      <c r="I54" s="5"/>
      <c r="J54" s="5"/>
      <c r="K54" s="5"/>
    </row>
    <row r="55" spans="2:11" ht="15" customHeight="1" thickBot="1" x14ac:dyDescent="0.3">
      <c r="B55" s="120" t="s">
        <v>49</v>
      </c>
      <c r="C55" s="121"/>
      <c r="D55" s="121"/>
      <c r="E55" s="122"/>
      <c r="F55" s="5"/>
      <c r="G55" s="5"/>
      <c r="H55" s="5"/>
      <c r="I55" s="5"/>
      <c r="J55" s="5"/>
      <c r="K55" s="5"/>
    </row>
    <row r="56" spans="2:11" ht="24.75" thickBot="1" x14ac:dyDescent="0.3">
      <c r="B56" s="46" t="s">
        <v>50</v>
      </c>
      <c r="C56" s="40" t="s">
        <v>51</v>
      </c>
      <c r="D56" s="40" t="s">
        <v>52</v>
      </c>
      <c r="E56" s="40" t="s">
        <v>53</v>
      </c>
      <c r="F56" s="5"/>
      <c r="G56" s="5"/>
      <c r="H56" s="5"/>
      <c r="I56" s="5"/>
      <c r="J56" s="5"/>
    </row>
    <row r="57" spans="2:11" ht="72.75" thickBot="1" x14ac:dyDescent="0.3">
      <c r="B57" s="48">
        <v>42401</v>
      </c>
      <c r="C57" s="40">
        <v>0.01</v>
      </c>
      <c r="D57" s="49" t="s">
        <v>584</v>
      </c>
      <c r="E57" s="40"/>
      <c r="F57" s="5"/>
      <c r="G57" s="5"/>
      <c r="H57" s="5"/>
      <c r="I57" s="5"/>
      <c r="J57" s="5"/>
    </row>
    <row r="58" spans="2:11" ht="15.75" thickBot="1" x14ac:dyDescent="0.3">
      <c r="B58" s="3"/>
      <c r="C58" s="93"/>
      <c r="D58" s="5"/>
      <c r="E58" s="5"/>
      <c r="F58" s="5"/>
      <c r="G58" s="5"/>
      <c r="H58" s="5"/>
      <c r="I58" s="5"/>
      <c r="J58" s="5"/>
      <c r="K58" s="5"/>
    </row>
    <row r="59" spans="2:11" x14ac:dyDescent="0.25">
      <c r="B59" s="127" t="s">
        <v>55</v>
      </c>
      <c r="C59" s="94"/>
      <c r="D59" s="5"/>
      <c r="E59" s="5"/>
      <c r="F59" s="5"/>
      <c r="G59" s="5"/>
      <c r="H59" s="5"/>
      <c r="I59" s="5"/>
      <c r="J59" s="5"/>
      <c r="K59" s="5"/>
    </row>
    <row r="60" spans="2:11" x14ac:dyDescent="0.25">
      <c r="B60" s="1075"/>
      <c r="C60" s="1076"/>
      <c r="D60" s="1076"/>
      <c r="E60" s="1077"/>
      <c r="F60" s="5"/>
      <c r="G60" s="5"/>
      <c r="H60" s="5"/>
      <c r="I60" s="5"/>
      <c r="J60" s="5"/>
      <c r="K60" s="5"/>
    </row>
    <row r="61" spans="2:11" x14ac:dyDescent="0.25">
      <c r="B61" s="1078"/>
      <c r="C61" s="1079"/>
      <c r="D61" s="1079"/>
      <c r="E61" s="1080"/>
      <c r="F61" s="5"/>
      <c r="G61" s="5"/>
      <c r="H61" s="5"/>
      <c r="I61" s="5"/>
      <c r="J61" s="5"/>
      <c r="K61" s="5"/>
    </row>
    <row r="62" spans="2:11" x14ac:dyDescent="0.25">
      <c r="B62" s="1"/>
      <c r="C62" s="74"/>
      <c r="D62" s="5"/>
      <c r="E62" s="5"/>
      <c r="F62" s="5"/>
      <c r="G62" s="5"/>
      <c r="H62" s="5"/>
      <c r="I62" s="5"/>
      <c r="J62" s="5"/>
      <c r="K62" s="5"/>
    </row>
    <row r="63" spans="2:11" ht="15.75" thickBot="1" x14ac:dyDescent="0.3">
      <c r="B63" s="5"/>
      <c r="D63" s="5"/>
      <c r="E63" s="5"/>
      <c r="F63" s="5"/>
      <c r="G63" s="5"/>
      <c r="H63" s="5"/>
      <c r="I63" s="5"/>
      <c r="J63" s="5"/>
      <c r="K63" s="5"/>
    </row>
    <row r="64" spans="2:11" ht="24.75" thickBot="1" x14ac:dyDescent="0.3">
      <c r="B64" s="50" t="s">
        <v>450</v>
      </c>
      <c r="C64" s="95"/>
      <c r="D64" s="5"/>
      <c r="E64" s="5"/>
      <c r="F64" s="5"/>
      <c r="G64" s="5"/>
      <c r="H64" s="5"/>
      <c r="I64" s="5"/>
      <c r="J64" s="5"/>
      <c r="K64" s="5"/>
    </row>
    <row r="65" spans="2:11" ht="15.75" thickBot="1" x14ac:dyDescent="0.3">
      <c r="B65" s="37"/>
      <c r="C65" s="86"/>
      <c r="D65" s="5"/>
      <c r="E65" s="5"/>
      <c r="F65" s="5"/>
      <c r="G65" s="5"/>
      <c r="H65" s="5"/>
      <c r="I65" s="5"/>
      <c r="J65" s="5"/>
      <c r="K65" s="5"/>
    </row>
    <row r="66" spans="2:11" ht="72.75" thickBot="1" x14ac:dyDescent="0.3">
      <c r="B66" s="51" t="s">
        <v>57</v>
      </c>
      <c r="C66" s="96"/>
      <c r="D66" s="42" t="s">
        <v>558</v>
      </c>
      <c r="E66" s="5"/>
      <c r="F66" s="5"/>
      <c r="G66" s="5"/>
      <c r="H66" s="5"/>
      <c r="I66" s="5"/>
      <c r="J66" s="5"/>
      <c r="K66" s="5"/>
    </row>
    <row r="67" spans="2:11" x14ac:dyDescent="0.25">
      <c r="B67" s="1045" t="s">
        <v>59</v>
      </c>
      <c r="C67" s="92"/>
      <c r="D67" s="52" t="s">
        <v>60</v>
      </c>
      <c r="E67" s="5"/>
      <c r="F67" s="5"/>
      <c r="G67" s="5"/>
      <c r="H67" s="5"/>
      <c r="I67" s="5"/>
      <c r="J67" s="5"/>
      <c r="K67" s="5"/>
    </row>
    <row r="68" spans="2:11" ht="96" x14ac:dyDescent="0.25">
      <c r="B68" s="1046"/>
      <c r="C68" s="92"/>
      <c r="D68" s="45" t="s">
        <v>559</v>
      </c>
      <c r="E68" s="5"/>
      <c r="F68" s="5"/>
      <c r="G68" s="5"/>
      <c r="H68" s="5"/>
      <c r="I68" s="5"/>
      <c r="J68" s="5"/>
      <c r="K68" s="5"/>
    </row>
    <row r="69" spans="2:11" ht="36" x14ac:dyDescent="0.25">
      <c r="B69" s="1046"/>
      <c r="C69" s="92"/>
      <c r="D69" s="45" t="s">
        <v>560</v>
      </c>
      <c r="E69" s="5"/>
      <c r="F69" s="5"/>
      <c r="G69" s="5"/>
      <c r="H69" s="5"/>
      <c r="I69" s="5"/>
      <c r="J69" s="5"/>
      <c r="K69" s="5"/>
    </row>
    <row r="70" spans="2:11" x14ac:dyDescent="0.25">
      <c r="B70" s="1046"/>
      <c r="C70" s="92"/>
      <c r="D70" s="52" t="s">
        <v>63</v>
      </c>
      <c r="E70" s="5"/>
      <c r="F70" s="5"/>
      <c r="G70" s="5"/>
      <c r="H70" s="5"/>
      <c r="I70" s="5"/>
      <c r="J70" s="5"/>
      <c r="K70" s="5"/>
    </row>
    <row r="71" spans="2:11" x14ac:dyDescent="0.25">
      <c r="B71" s="1046"/>
      <c r="C71" s="92"/>
      <c r="D71" s="45" t="s">
        <v>65</v>
      </c>
      <c r="E71" s="5"/>
      <c r="F71" s="5"/>
      <c r="G71" s="5"/>
      <c r="H71" s="5"/>
      <c r="I71" s="5"/>
      <c r="J71" s="5"/>
      <c r="K71" s="5"/>
    </row>
    <row r="72" spans="2:11" x14ac:dyDescent="0.25">
      <c r="B72" s="1046"/>
      <c r="C72" s="92"/>
      <c r="D72" s="52" t="s">
        <v>288</v>
      </c>
      <c r="E72" s="5"/>
      <c r="F72" s="5"/>
      <c r="G72" s="5"/>
      <c r="H72" s="5"/>
      <c r="I72" s="5"/>
      <c r="J72" s="5"/>
      <c r="K72" s="5"/>
    </row>
    <row r="73" spans="2:11" ht="36" x14ac:dyDescent="0.25">
      <c r="B73" s="1046"/>
      <c r="C73" s="92"/>
      <c r="D73" s="45" t="s">
        <v>453</v>
      </c>
      <c r="E73" s="5"/>
      <c r="F73" s="5"/>
      <c r="G73" s="5"/>
      <c r="H73" s="5"/>
      <c r="I73" s="5"/>
      <c r="J73" s="5"/>
      <c r="K73" s="5"/>
    </row>
    <row r="74" spans="2:11" x14ac:dyDescent="0.25">
      <c r="B74" s="1046"/>
      <c r="C74" s="92"/>
      <c r="D74" s="45" t="s">
        <v>561</v>
      </c>
      <c r="E74" s="5"/>
      <c r="F74" s="5"/>
      <c r="G74" s="5"/>
      <c r="H74" s="5"/>
      <c r="I74" s="5"/>
      <c r="J74" s="5"/>
      <c r="K74" s="5"/>
    </row>
    <row r="75" spans="2:11" ht="15.75" thickBot="1" x14ac:dyDescent="0.3">
      <c r="B75" s="1047"/>
      <c r="C75" s="2"/>
      <c r="D75" s="67"/>
      <c r="E75" s="5"/>
      <c r="F75" s="5"/>
      <c r="G75" s="5"/>
      <c r="H75" s="5"/>
      <c r="I75" s="5"/>
      <c r="J75" s="5"/>
      <c r="K75" s="5"/>
    </row>
    <row r="76" spans="2:11" ht="24.75" thickBot="1" x14ac:dyDescent="0.3">
      <c r="B76" s="46" t="s">
        <v>72</v>
      </c>
      <c r="C76" s="2"/>
      <c r="D76" s="40"/>
      <c r="E76" s="5"/>
      <c r="F76" s="5"/>
      <c r="G76" s="5"/>
      <c r="H76" s="5"/>
      <c r="I76" s="5"/>
      <c r="J76" s="5"/>
      <c r="K76" s="5"/>
    </row>
    <row r="77" spans="2:11" ht="72" x14ac:dyDescent="0.25">
      <c r="B77" s="1045" t="s">
        <v>73</v>
      </c>
      <c r="C77" s="92"/>
      <c r="D77" s="45" t="s">
        <v>562</v>
      </c>
      <c r="E77" s="5"/>
      <c r="F77" s="5"/>
      <c r="G77" s="5"/>
      <c r="H77" s="5"/>
      <c r="I77" s="5"/>
      <c r="J77" s="5"/>
      <c r="K77" s="5"/>
    </row>
    <row r="78" spans="2:11" ht="132" x14ac:dyDescent="0.25">
      <c r="B78" s="1046"/>
      <c r="C78" s="92"/>
      <c r="D78" s="45" t="s">
        <v>563</v>
      </c>
      <c r="E78" s="5"/>
      <c r="F78" s="5"/>
      <c r="G78" s="5"/>
      <c r="H78" s="5"/>
      <c r="I78" s="5"/>
      <c r="J78" s="5"/>
      <c r="K78" s="5"/>
    </row>
    <row r="79" spans="2:11" ht="108" x14ac:dyDescent="0.25">
      <c r="B79" s="1046"/>
      <c r="C79" s="92"/>
      <c r="D79" s="45" t="s">
        <v>564</v>
      </c>
      <c r="E79" s="5"/>
      <c r="F79" s="5"/>
      <c r="G79" s="5"/>
      <c r="H79" s="5"/>
      <c r="I79" s="5"/>
      <c r="J79" s="5"/>
      <c r="K79" s="5"/>
    </row>
    <row r="80" spans="2:11" ht="84" x14ac:dyDescent="0.25">
      <c r="B80" s="1046"/>
      <c r="C80" s="92"/>
      <c r="D80" s="45" t="s">
        <v>565</v>
      </c>
      <c r="E80" s="5"/>
      <c r="F80" s="5"/>
      <c r="G80" s="5"/>
      <c r="H80" s="5"/>
      <c r="I80" s="5"/>
      <c r="J80" s="5"/>
      <c r="K80" s="5"/>
    </row>
    <row r="81" spans="2:11" ht="108" x14ac:dyDescent="0.25">
      <c r="B81" s="1046"/>
      <c r="C81" s="92"/>
      <c r="D81" s="45" t="s">
        <v>566</v>
      </c>
      <c r="E81" s="5"/>
      <c r="F81" s="5"/>
      <c r="G81" s="5"/>
      <c r="H81" s="5"/>
      <c r="I81" s="5"/>
      <c r="J81" s="5"/>
      <c r="K81" s="5"/>
    </row>
    <row r="82" spans="2:11" ht="60" x14ac:dyDescent="0.25">
      <c r="B82" s="1046"/>
      <c r="C82" s="92"/>
      <c r="D82" s="45" t="s">
        <v>567</v>
      </c>
      <c r="E82" s="5"/>
      <c r="F82" s="5"/>
      <c r="G82" s="5"/>
      <c r="H82" s="5"/>
      <c r="I82" s="5"/>
      <c r="J82" s="5"/>
      <c r="K82" s="5"/>
    </row>
    <row r="83" spans="2:11" ht="84.75" thickBot="1" x14ac:dyDescent="0.3">
      <c r="B83" s="1047"/>
      <c r="C83" s="2"/>
      <c r="D83" s="40" t="s">
        <v>568</v>
      </c>
      <c r="E83" s="5"/>
      <c r="F83" s="5"/>
      <c r="G83" s="5"/>
      <c r="H83" s="5"/>
      <c r="I83" s="5"/>
      <c r="J83" s="5"/>
      <c r="K83" s="5"/>
    </row>
    <row r="84" spans="2:11" ht="24" x14ac:dyDescent="0.25">
      <c r="B84" s="1045" t="s">
        <v>90</v>
      </c>
      <c r="C84" s="92"/>
      <c r="D84" s="52" t="s">
        <v>557</v>
      </c>
      <c r="E84" s="5"/>
      <c r="F84" s="5"/>
      <c r="G84" s="5"/>
      <c r="H84" s="5"/>
      <c r="I84" s="5"/>
      <c r="J84" s="5"/>
      <c r="K84" s="5"/>
    </row>
    <row r="85" spans="2:11" x14ac:dyDescent="0.25">
      <c r="B85" s="1046"/>
      <c r="C85" s="92"/>
      <c r="D85" s="16"/>
      <c r="E85" s="5"/>
      <c r="F85" s="5"/>
      <c r="G85" s="5"/>
      <c r="H85" s="5"/>
      <c r="I85" s="5"/>
      <c r="J85" s="5"/>
      <c r="K85" s="5"/>
    </row>
    <row r="86" spans="2:11" x14ac:dyDescent="0.25">
      <c r="B86" s="1046"/>
      <c r="C86" s="92"/>
      <c r="D86" s="45" t="s">
        <v>91</v>
      </c>
      <c r="E86" s="5"/>
      <c r="F86" s="5"/>
      <c r="G86" s="5"/>
      <c r="H86" s="5"/>
      <c r="I86" s="5"/>
      <c r="J86" s="5"/>
      <c r="K86" s="5"/>
    </row>
    <row r="87" spans="2:11" ht="49.5" x14ac:dyDescent="0.25">
      <c r="B87" s="1046"/>
      <c r="C87" s="92"/>
      <c r="D87" s="45" t="s">
        <v>569</v>
      </c>
      <c r="E87" s="5"/>
      <c r="F87" s="5"/>
      <c r="G87" s="5"/>
      <c r="H87" s="5"/>
      <c r="I87" s="5"/>
      <c r="J87" s="5"/>
      <c r="K87" s="5"/>
    </row>
    <row r="88" spans="2:11" ht="37.5" x14ac:dyDescent="0.25">
      <c r="B88" s="1046"/>
      <c r="C88" s="92"/>
      <c r="D88" s="45" t="s">
        <v>570</v>
      </c>
      <c r="E88" s="5"/>
      <c r="F88" s="5"/>
      <c r="G88" s="5"/>
      <c r="H88" s="5"/>
      <c r="I88" s="5"/>
      <c r="J88" s="5"/>
      <c r="K88" s="5"/>
    </row>
    <row r="89" spans="2:11" ht="37.5" x14ac:dyDescent="0.25">
      <c r="B89" s="1046"/>
      <c r="C89" s="92"/>
      <c r="D89" s="45" t="s">
        <v>571</v>
      </c>
      <c r="E89" s="5"/>
      <c r="F89" s="5"/>
      <c r="G89" s="5"/>
      <c r="H89" s="5"/>
      <c r="I89" s="5"/>
      <c r="J89" s="5"/>
      <c r="K89" s="5"/>
    </row>
    <row r="90" spans="2:11" ht="84" x14ac:dyDescent="0.25">
      <c r="B90" s="1046"/>
      <c r="C90" s="92"/>
      <c r="D90" s="53" t="s">
        <v>235</v>
      </c>
      <c r="E90" s="5"/>
      <c r="F90" s="5"/>
      <c r="G90" s="5"/>
      <c r="H90" s="5"/>
      <c r="I90" s="5"/>
      <c r="J90" s="5"/>
      <c r="K90" s="5"/>
    </row>
    <row r="91" spans="2:11" x14ac:dyDescent="0.25">
      <c r="B91" s="1046"/>
      <c r="C91" s="92"/>
      <c r="D91" s="52" t="s">
        <v>246</v>
      </c>
      <c r="E91" s="5"/>
      <c r="F91" s="5"/>
      <c r="G91" s="5"/>
      <c r="H91" s="5"/>
      <c r="I91" s="5"/>
      <c r="J91" s="5"/>
      <c r="K91" s="5"/>
    </row>
    <row r="92" spans="2:11" ht="36" x14ac:dyDescent="0.25">
      <c r="B92" s="1046"/>
      <c r="C92" s="92"/>
      <c r="D92" s="52" t="s">
        <v>572</v>
      </c>
      <c r="E92" s="5"/>
      <c r="F92" s="5"/>
      <c r="G92" s="5"/>
      <c r="H92" s="5"/>
      <c r="I92" s="5"/>
      <c r="J92" s="5"/>
      <c r="K92" s="5"/>
    </row>
    <row r="93" spans="2:11" x14ac:dyDescent="0.25">
      <c r="B93" s="1046"/>
      <c r="C93" s="92"/>
      <c r="D93" s="52" t="s">
        <v>573</v>
      </c>
      <c r="E93" s="5"/>
      <c r="F93" s="5"/>
      <c r="G93" s="5"/>
      <c r="H93" s="5"/>
      <c r="I93" s="5"/>
      <c r="J93" s="5"/>
      <c r="K93" s="5"/>
    </row>
    <row r="94" spans="2:11" x14ac:dyDescent="0.25">
      <c r="B94" s="1046"/>
      <c r="C94" s="92"/>
      <c r="D94" s="16"/>
      <c r="E94" s="5"/>
      <c r="F94" s="5"/>
      <c r="G94" s="5"/>
      <c r="H94" s="5"/>
      <c r="I94" s="5"/>
      <c r="J94" s="5"/>
      <c r="K94" s="5"/>
    </row>
    <row r="95" spans="2:11" x14ac:dyDescent="0.25">
      <c r="B95" s="1046"/>
      <c r="C95" s="92"/>
      <c r="D95" s="45" t="s">
        <v>91</v>
      </c>
      <c r="E95" s="5"/>
      <c r="F95" s="5"/>
      <c r="G95" s="5"/>
      <c r="H95" s="5"/>
      <c r="I95" s="5"/>
      <c r="J95" s="5"/>
      <c r="K95" s="5"/>
    </row>
    <row r="96" spans="2:11" ht="37.5" x14ac:dyDescent="0.25">
      <c r="B96" s="1046"/>
      <c r="C96" s="92"/>
      <c r="D96" s="45" t="s">
        <v>574</v>
      </c>
      <c r="E96" s="5"/>
      <c r="F96" s="5"/>
      <c r="G96" s="5"/>
      <c r="H96" s="5"/>
      <c r="I96" s="5"/>
      <c r="J96" s="5"/>
      <c r="K96" s="5"/>
    </row>
    <row r="97" spans="2:11" ht="62.25" thickBot="1" x14ac:dyDescent="0.3">
      <c r="B97" s="1047"/>
      <c r="C97" s="2"/>
      <c r="D97" s="40" t="s">
        <v>575</v>
      </c>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sheetProtection insertRows="0"/>
  <mergeCells count="25">
    <mergeCell ref="B10:D10"/>
    <mergeCell ref="F10:S10"/>
    <mergeCell ref="F11:S11"/>
    <mergeCell ref="E12:R12"/>
    <mergeCell ref="E13:R13"/>
    <mergeCell ref="B60:E61"/>
    <mergeCell ref="B67:B75"/>
    <mergeCell ref="B77:B83"/>
    <mergeCell ref="B84:B97"/>
    <mergeCell ref="D15:K15"/>
    <mergeCell ref="D23:K23"/>
    <mergeCell ref="D24:K24"/>
    <mergeCell ref="D25:K25"/>
    <mergeCell ref="D34:K34"/>
    <mergeCell ref="D35:K35"/>
    <mergeCell ref="B37:E37"/>
    <mergeCell ref="B38:B44"/>
    <mergeCell ref="B46:E46"/>
    <mergeCell ref="B47:B53"/>
    <mergeCell ref="B15:B25"/>
    <mergeCell ref="A1:P1"/>
    <mergeCell ref="A2:P2"/>
    <mergeCell ref="A3:P3"/>
    <mergeCell ref="A4:D4"/>
    <mergeCell ref="A5:P5"/>
  </mergeCells>
  <conditionalFormatting sqref="F10">
    <cfRule type="notContainsBlanks" dxfId="70" priority="4">
      <formula>LEN(TRIM(F10))&gt;0</formula>
    </cfRule>
  </conditionalFormatting>
  <conditionalFormatting sqref="F11:S11">
    <cfRule type="expression" dxfId="69" priority="2">
      <formula>E11="NO SE REPORTA"</formula>
    </cfRule>
    <cfRule type="expression" dxfId="68" priority="3">
      <formula>E10="NO APLICA"</formula>
    </cfRule>
  </conditionalFormatting>
  <conditionalFormatting sqref="E12:R12">
    <cfRule type="expression" dxfId="67" priority="1">
      <formula>E11="SI SE REPORTA"</formula>
    </cfRule>
  </conditionalFormatting>
  <dataValidations count="5">
    <dataValidation type="whole" operator="greaterThanOrEqual" allowBlank="1" showInputMessage="1" showErrorMessage="1" errorTitle="ERROR" error="Valor en PESOS (sin centavos)" sqref="G30:J32 J29 G27:I29">
      <formula1>0</formula1>
    </dataValidation>
    <dataValidation type="whole" operator="greaterThanOrEqual" allowBlank="1" showInputMessage="1" showErrorMessage="1" errorTitle="ERROR" error="Valor en HECTAREAS (sin decimales)" sqref="E17:H20 F30:F32">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 type="whole" operator="greaterThanOrEqual" allowBlank="1" showInputMessage="1" showErrorMessage="1" errorTitle="ERROR" error="Valor en HECTAREAS (sin decimales)_x000a_" sqref="F27:F29">
      <formula1>0</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8"/>
  <sheetViews>
    <sheetView showGridLines="0" zoomScale="98" zoomScaleNormal="98" workbookViewId="0">
      <selection activeCell="M21" sqref="M21"/>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5" customWidth="1"/>
    <col min="10" max="10" width="35.8554687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585</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8" t="s">
        <v>1192</v>
      </c>
      <c r="C8" s="209">
        <v>2022</v>
      </c>
      <c r="D8" s="214">
        <f>IF(E10="NO APLICA","NO APLICA",IF(E11="NO SE REPORTA","SIN INFORMACION",+I30))</f>
        <v>1</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1925</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 customHeight="1" thickTop="1" x14ac:dyDescent="0.25">
      <c r="B15" s="1090" t="s">
        <v>2</v>
      </c>
      <c r="C15" s="87"/>
      <c r="D15" s="1036" t="s">
        <v>336</v>
      </c>
      <c r="E15" s="1037"/>
      <c r="F15" s="1037"/>
      <c r="G15" s="1037"/>
      <c r="H15" s="1037"/>
      <c r="I15" s="1037"/>
      <c r="J15" s="1037"/>
      <c r="K15" s="1038"/>
    </row>
    <row r="16" spans="1:21" ht="15.75" thickBot="1" x14ac:dyDescent="0.3">
      <c r="B16" s="1064"/>
      <c r="C16" s="90"/>
      <c r="D16" s="1165" t="s">
        <v>616</v>
      </c>
      <c r="E16" s="1166"/>
      <c r="F16" s="1166"/>
      <c r="G16" s="1166"/>
      <c r="H16" s="1166"/>
      <c r="I16" s="1166"/>
      <c r="J16" s="1166"/>
      <c r="K16" s="1167"/>
    </row>
    <row r="17" spans="2:11" ht="15.75" thickBot="1" x14ac:dyDescent="0.3">
      <c r="B17" s="1064"/>
      <c r="C17" s="88" t="s">
        <v>19</v>
      </c>
      <c r="D17" s="38" t="s">
        <v>253</v>
      </c>
      <c r="E17" s="38" t="s">
        <v>20</v>
      </c>
      <c r="F17" s="38" t="s">
        <v>21</v>
      </c>
      <c r="G17" s="38" t="s">
        <v>22</v>
      </c>
      <c r="H17" s="38" t="s">
        <v>23</v>
      </c>
      <c r="I17" s="38" t="s">
        <v>254</v>
      </c>
      <c r="K17" s="21"/>
    </row>
    <row r="18" spans="2:11" ht="24.75" thickBot="1" x14ac:dyDescent="0.3">
      <c r="B18" s="1064"/>
      <c r="C18" s="89" t="s">
        <v>152</v>
      </c>
      <c r="D18" s="40" t="s">
        <v>617</v>
      </c>
      <c r="E18" s="6">
        <v>5</v>
      </c>
      <c r="F18" s="6">
        <v>5</v>
      </c>
      <c r="G18" s="6">
        <v>5</v>
      </c>
      <c r="H18" s="6">
        <v>5</v>
      </c>
      <c r="I18" s="41">
        <f>SUM(E18:H18)</f>
        <v>20</v>
      </c>
      <c r="K18" s="21"/>
    </row>
    <row r="19" spans="2:11" ht="15.75" thickBot="1" x14ac:dyDescent="0.3">
      <c r="B19" s="1064"/>
      <c r="C19" s="90"/>
      <c r="D19" s="1051" t="s">
        <v>618</v>
      </c>
      <c r="E19" s="1052"/>
      <c r="F19" s="1052"/>
      <c r="G19" s="1052"/>
      <c r="H19" s="1052"/>
      <c r="I19" s="1052"/>
      <c r="J19" s="1052"/>
      <c r="K19" s="1053"/>
    </row>
    <row r="20" spans="2:11" ht="15" customHeight="1" thickBot="1" x14ac:dyDescent="0.3">
      <c r="B20" s="216"/>
      <c r="C20" s="1093" t="s">
        <v>19</v>
      </c>
      <c r="D20" s="1045" t="s">
        <v>270</v>
      </c>
      <c r="E20" s="1045" t="s">
        <v>619</v>
      </c>
      <c r="F20" s="1048" t="s">
        <v>620</v>
      </c>
      <c r="G20" s="1049"/>
      <c r="H20" s="1049"/>
      <c r="I20" s="1049"/>
      <c r="J20" s="1050"/>
      <c r="K20" s="112"/>
    </row>
    <row r="21" spans="2:11" ht="34.5" thickBot="1" x14ac:dyDescent="0.3">
      <c r="B21" s="216"/>
      <c r="C21" s="1094"/>
      <c r="D21" s="1047"/>
      <c r="E21" s="1047"/>
      <c r="F21" s="64" t="s">
        <v>621</v>
      </c>
      <c r="G21" s="64" t="s">
        <v>622</v>
      </c>
      <c r="H21" s="64" t="s">
        <v>623</v>
      </c>
      <c r="I21" s="64" t="s">
        <v>624</v>
      </c>
      <c r="J21" s="64" t="s">
        <v>55</v>
      </c>
      <c r="K21" s="113"/>
    </row>
    <row r="22" spans="2:11" ht="96.75" thickBot="1" x14ac:dyDescent="0.3">
      <c r="B22" s="216"/>
      <c r="C22" s="30"/>
      <c r="D22" s="338" t="s">
        <v>1813</v>
      </c>
      <c r="E22" s="338" t="s">
        <v>625</v>
      </c>
      <c r="F22" s="31">
        <v>0.25</v>
      </c>
      <c r="G22" s="31">
        <v>1</v>
      </c>
      <c r="H22" s="31">
        <v>0.2</v>
      </c>
      <c r="I22" s="138">
        <f>+G22*H22</f>
        <v>0.2</v>
      </c>
      <c r="J22" s="339" t="s">
        <v>1817</v>
      </c>
      <c r="K22" s="113"/>
    </row>
    <row r="23" spans="2:11" ht="77.25" customHeight="1" thickBot="1" x14ac:dyDescent="0.3">
      <c r="B23" s="216"/>
      <c r="C23" s="270"/>
      <c r="D23" s="29" t="s">
        <v>1809</v>
      </c>
      <c r="E23" s="338" t="s">
        <v>626</v>
      </c>
      <c r="F23" s="31">
        <v>0.25</v>
      </c>
      <c r="G23" s="31">
        <v>1</v>
      </c>
      <c r="H23" s="31">
        <v>0.2</v>
      </c>
      <c r="I23" s="138">
        <f t="shared" ref="I23:I29" si="0">+G23*H23</f>
        <v>0.2</v>
      </c>
      <c r="J23" s="29" t="s">
        <v>1818</v>
      </c>
      <c r="K23" s="113"/>
    </row>
    <row r="24" spans="2:11" ht="101.25" customHeight="1" thickBot="1" x14ac:dyDescent="0.3">
      <c r="B24" s="216"/>
      <c r="C24" s="270"/>
      <c r="D24" s="29" t="s">
        <v>1814</v>
      </c>
      <c r="E24" s="338" t="s">
        <v>627</v>
      </c>
      <c r="F24" s="31">
        <v>0.25</v>
      </c>
      <c r="G24" s="31">
        <v>1</v>
      </c>
      <c r="H24" s="31">
        <v>0.2</v>
      </c>
      <c r="I24" s="138">
        <f t="shared" si="0"/>
        <v>0.2</v>
      </c>
      <c r="J24" s="29" t="s">
        <v>1820</v>
      </c>
      <c r="K24" s="113"/>
    </row>
    <row r="25" spans="2:11" ht="63.75" customHeight="1" thickBot="1" x14ac:dyDescent="0.3">
      <c r="B25" s="216"/>
      <c r="C25" s="270"/>
      <c r="D25" s="29" t="s">
        <v>1816</v>
      </c>
      <c r="E25" s="338" t="s">
        <v>628</v>
      </c>
      <c r="F25" s="31">
        <v>0.25</v>
      </c>
      <c r="G25" s="31">
        <v>1</v>
      </c>
      <c r="H25" s="31">
        <v>0.2</v>
      </c>
      <c r="I25" s="138">
        <f t="shared" si="0"/>
        <v>0.2</v>
      </c>
      <c r="J25" s="29" t="s">
        <v>1819</v>
      </c>
      <c r="K25" s="113"/>
    </row>
    <row r="26" spans="2:11" ht="151.5" customHeight="1" thickBot="1" x14ac:dyDescent="0.3">
      <c r="B26" s="216"/>
      <c r="C26" s="270"/>
      <c r="D26" s="338" t="s">
        <v>1815</v>
      </c>
      <c r="E26" s="338" t="s">
        <v>629</v>
      </c>
      <c r="F26" s="31">
        <v>0.25</v>
      </c>
      <c r="G26" s="31">
        <v>1</v>
      </c>
      <c r="H26" s="31">
        <v>0.2</v>
      </c>
      <c r="I26" s="138">
        <f t="shared" si="0"/>
        <v>0.2</v>
      </c>
      <c r="J26" s="29" t="s">
        <v>1821</v>
      </c>
      <c r="K26" s="113"/>
    </row>
    <row r="27" spans="2:11" ht="15.75" thickBot="1" x14ac:dyDescent="0.3">
      <c r="B27" s="216"/>
      <c r="C27" s="270"/>
      <c r="D27" s="30"/>
      <c r="E27" s="30"/>
      <c r="F27" s="31"/>
      <c r="G27" s="31"/>
      <c r="H27" s="31"/>
      <c r="I27" s="138">
        <f t="shared" si="0"/>
        <v>0</v>
      </c>
      <c r="J27" s="29"/>
      <c r="K27" s="113"/>
    </row>
    <row r="28" spans="2:11" ht="15.75" thickBot="1" x14ac:dyDescent="0.3">
      <c r="B28" s="216"/>
      <c r="C28" s="270"/>
      <c r="D28" s="30"/>
      <c r="E28" s="30"/>
      <c r="F28" s="31"/>
      <c r="G28" s="31"/>
      <c r="H28" s="31"/>
      <c r="I28" s="138">
        <f t="shared" si="0"/>
        <v>0</v>
      </c>
      <c r="J28" s="29"/>
      <c r="K28" s="113"/>
    </row>
    <row r="29" spans="2:11" ht="15.75" thickBot="1" x14ac:dyDescent="0.3">
      <c r="B29" s="216"/>
      <c r="C29" s="270"/>
      <c r="D29" s="30"/>
      <c r="E29" s="30"/>
      <c r="F29" s="31"/>
      <c r="G29" s="31"/>
      <c r="H29" s="31"/>
      <c r="I29" s="138">
        <f t="shared" si="0"/>
        <v>0</v>
      </c>
      <c r="J29" s="29"/>
      <c r="K29" s="113"/>
    </row>
    <row r="30" spans="2:11" ht="15.75" thickBot="1" x14ac:dyDescent="0.3">
      <c r="B30" s="216"/>
      <c r="C30" s="89"/>
      <c r="D30" s="39" t="s">
        <v>151</v>
      </c>
      <c r="E30" s="39"/>
      <c r="F30" s="39"/>
      <c r="G30" s="39"/>
      <c r="H30" s="194">
        <f>Formulas!D20</f>
        <v>1</v>
      </c>
      <c r="I30" s="138">
        <f>Formulas!E20</f>
        <v>1</v>
      </c>
      <c r="J30" s="40"/>
      <c r="K30" s="114"/>
    </row>
    <row r="31" spans="2:11" ht="15.75" thickBot="1" x14ac:dyDescent="0.3">
      <c r="B31" s="46"/>
      <c r="C31" s="91"/>
      <c r="D31" s="1048" t="s">
        <v>630</v>
      </c>
      <c r="E31" s="1049"/>
      <c r="F31" s="1049"/>
      <c r="G31" s="1049"/>
      <c r="H31" s="1049"/>
      <c r="I31" s="1049"/>
      <c r="J31" s="1049"/>
      <c r="K31" s="1050"/>
    </row>
    <row r="32" spans="2:11" ht="24" customHeight="1" thickBot="1" x14ac:dyDescent="0.3">
      <c r="B32" s="46" t="s">
        <v>34</v>
      </c>
      <c r="C32" s="91"/>
      <c r="D32" s="1048" t="s">
        <v>631</v>
      </c>
      <c r="E32" s="1049"/>
      <c r="F32" s="1049"/>
      <c r="G32" s="1049"/>
      <c r="H32" s="1049"/>
      <c r="I32" s="1049"/>
      <c r="J32" s="1049"/>
      <c r="K32" s="1050"/>
    </row>
    <row r="33" spans="2:11" ht="36" customHeight="1" thickBot="1" x14ac:dyDescent="0.3">
      <c r="B33" s="46" t="s">
        <v>36</v>
      </c>
      <c r="C33" s="91"/>
      <c r="D33" s="1048" t="s">
        <v>632</v>
      </c>
      <c r="E33" s="1049"/>
      <c r="F33" s="1049"/>
      <c r="G33" s="1049"/>
      <c r="H33" s="1049"/>
      <c r="I33" s="1049"/>
      <c r="J33" s="1049"/>
      <c r="K33" s="1050"/>
    </row>
    <row r="34" spans="2:11" ht="15.75" thickBot="1" x14ac:dyDescent="0.3">
      <c r="B34" s="1"/>
      <c r="C34" s="74"/>
      <c r="D34" s="5"/>
      <c r="E34" s="5"/>
      <c r="F34" s="5"/>
      <c r="G34" s="5"/>
      <c r="H34" s="5"/>
      <c r="I34" s="5"/>
      <c r="J34" s="5"/>
      <c r="K34" s="5"/>
    </row>
    <row r="35" spans="2:11" ht="24" customHeight="1" thickBot="1" x14ac:dyDescent="0.3">
      <c r="B35" s="1054" t="s">
        <v>38</v>
      </c>
      <c r="C35" s="1055"/>
      <c r="D35" s="1055"/>
      <c r="E35" s="1056"/>
      <c r="F35" s="5"/>
      <c r="G35" s="5"/>
      <c r="H35" s="5"/>
      <c r="I35" s="5"/>
      <c r="J35" s="5"/>
      <c r="K35" s="5"/>
    </row>
    <row r="36" spans="2:11" ht="15.75" thickBot="1" x14ac:dyDescent="0.3">
      <c r="B36" s="1045">
        <v>1</v>
      </c>
      <c r="C36" s="92"/>
      <c r="D36" s="47" t="s">
        <v>39</v>
      </c>
      <c r="E36" s="30" t="s">
        <v>1771</v>
      </c>
      <c r="F36" s="5"/>
      <c r="G36" s="5"/>
      <c r="H36" s="5"/>
      <c r="I36" s="5"/>
      <c r="J36" s="5"/>
      <c r="K36" s="5"/>
    </row>
    <row r="37" spans="2:11" ht="15.75" thickBot="1" x14ac:dyDescent="0.3">
      <c r="B37" s="1046"/>
      <c r="C37" s="92"/>
      <c r="D37" s="40" t="s">
        <v>40</v>
      </c>
      <c r="E37" s="30" t="s">
        <v>1772</v>
      </c>
      <c r="F37" s="5"/>
      <c r="G37" s="5"/>
      <c r="H37" s="5"/>
      <c r="I37" s="5"/>
      <c r="J37" s="5"/>
      <c r="K37" s="5"/>
    </row>
    <row r="38" spans="2:11" ht="15.75" thickBot="1" x14ac:dyDescent="0.3">
      <c r="B38" s="1046"/>
      <c r="C38" s="92"/>
      <c r="D38" s="40" t="s">
        <v>41</v>
      </c>
      <c r="E38" s="30" t="s">
        <v>1774</v>
      </c>
      <c r="F38" s="5"/>
      <c r="G38" s="5"/>
      <c r="H38" s="5"/>
      <c r="I38" s="5"/>
      <c r="J38" s="5"/>
      <c r="K38" s="5"/>
    </row>
    <row r="39" spans="2:11" ht="15.75" thickBot="1" x14ac:dyDescent="0.3">
      <c r="B39" s="1046"/>
      <c r="C39" s="92"/>
      <c r="D39" s="40" t="s">
        <v>42</v>
      </c>
      <c r="E39" s="30" t="s">
        <v>1494</v>
      </c>
      <c r="F39" s="5"/>
      <c r="G39" s="5"/>
      <c r="H39" s="5"/>
      <c r="I39" s="5"/>
      <c r="J39" s="5"/>
      <c r="K39" s="5"/>
    </row>
    <row r="40" spans="2:11" ht="15.75" thickBot="1" x14ac:dyDescent="0.3">
      <c r="B40" s="1046"/>
      <c r="C40" s="92"/>
      <c r="D40" s="40" t="s">
        <v>43</v>
      </c>
      <c r="E40" s="515" t="s">
        <v>1775</v>
      </c>
      <c r="F40" s="5"/>
      <c r="G40" s="5"/>
      <c r="H40" s="5"/>
      <c r="I40" s="5"/>
      <c r="J40" s="5"/>
      <c r="K40" s="5"/>
    </row>
    <row r="41" spans="2:11" ht="15.75" thickBot="1" x14ac:dyDescent="0.3">
      <c r="B41" s="1046"/>
      <c r="C41" s="92"/>
      <c r="D41" s="40" t="s">
        <v>44</v>
      </c>
      <c r="E41" s="30">
        <v>4380200</v>
      </c>
      <c r="F41" s="5"/>
      <c r="G41" s="5"/>
      <c r="H41" s="5"/>
      <c r="I41" s="5"/>
      <c r="J41" s="5"/>
      <c r="K41" s="5"/>
    </row>
    <row r="42" spans="2:11" ht="15.75" thickBot="1" x14ac:dyDescent="0.3">
      <c r="B42" s="1047"/>
      <c r="C42" s="2"/>
      <c r="D42" s="40" t="s">
        <v>45</v>
      </c>
      <c r="E42" s="30" t="s">
        <v>1773</v>
      </c>
      <c r="F42" s="5"/>
      <c r="G42" s="5"/>
      <c r="H42" s="5"/>
      <c r="I42" s="5"/>
      <c r="J42" s="5"/>
      <c r="K42" s="5"/>
    </row>
    <row r="43" spans="2:11" ht="15.75" thickBot="1" x14ac:dyDescent="0.3">
      <c r="B43" s="1"/>
      <c r="C43" s="74"/>
      <c r="D43" s="5"/>
      <c r="E43" s="5"/>
      <c r="F43" s="5"/>
      <c r="G43" s="5"/>
      <c r="H43" s="5"/>
      <c r="I43" s="5"/>
      <c r="J43" s="5"/>
      <c r="K43" s="5"/>
    </row>
    <row r="44" spans="2:11" ht="15.75" thickBot="1" x14ac:dyDescent="0.3">
      <c r="B44" s="1054" t="s">
        <v>46</v>
      </c>
      <c r="C44" s="1055"/>
      <c r="D44" s="1055"/>
      <c r="E44" s="1056"/>
      <c r="F44" s="5"/>
      <c r="G44" s="5"/>
      <c r="H44" s="5"/>
      <c r="I44" s="5"/>
      <c r="J44" s="5"/>
      <c r="K44" s="5"/>
    </row>
    <row r="45" spans="2:11" ht="15.75" thickBot="1" x14ac:dyDescent="0.3">
      <c r="B45" s="1045">
        <v>1</v>
      </c>
      <c r="C45" s="92"/>
      <c r="D45" s="47" t="s">
        <v>39</v>
      </c>
      <c r="E45" s="217" t="s">
        <v>47</v>
      </c>
      <c r="F45" s="5"/>
      <c r="G45" s="5"/>
      <c r="H45" s="5"/>
      <c r="I45" s="5"/>
      <c r="J45" s="5"/>
      <c r="K45" s="5"/>
    </row>
    <row r="46" spans="2:11" ht="15.75" thickBot="1" x14ac:dyDescent="0.3">
      <c r="B46" s="1046"/>
      <c r="C46" s="92"/>
      <c r="D46" s="40" t="s">
        <v>40</v>
      </c>
      <c r="E46" s="217" t="s">
        <v>48</v>
      </c>
      <c r="F46" s="5"/>
      <c r="G46" s="5"/>
      <c r="H46" s="5"/>
      <c r="I46" s="5"/>
      <c r="J46" s="5"/>
      <c r="K46" s="5"/>
    </row>
    <row r="47" spans="2:11" ht="15.75" thickBot="1" x14ac:dyDescent="0.3">
      <c r="B47" s="1046"/>
      <c r="C47" s="92"/>
      <c r="D47" s="40" t="s">
        <v>41</v>
      </c>
      <c r="E47" s="237"/>
      <c r="F47" s="5"/>
      <c r="G47" s="5"/>
      <c r="H47" s="5"/>
      <c r="I47" s="5"/>
      <c r="J47" s="5"/>
      <c r="K47" s="5"/>
    </row>
    <row r="48" spans="2:11" ht="15.75" thickBot="1" x14ac:dyDescent="0.3">
      <c r="B48" s="1046"/>
      <c r="C48" s="92"/>
      <c r="D48" s="40" t="s">
        <v>42</v>
      </c>
      <c r="E48" s="237"/>
      <c r="F48" s="5"/>
      <c r="G48" s="5"/>
      <c r="H48" s="5"/>
      <c r="I48" s="5"/>
      <c r="J48" s="5"/>
      <c r="K48" s="5"/>
    </row>
    <row r="49" spans="2:11" ht="15.75" thickBot="1" x14ac:dyDescent="0.3">
      <c r="B49" s="1046"/>
      <c r="C49" s="92"/>
      <c r="D49" s="40" t="s">
        <v>43</v>
      </c>
      <c r="E49" s="237"/>
      <c r="F49" s="5"/>
      <c r="G49" s="5"/>
      <c r="H49" s="5"/>
      <c r="I49" s="5"/>
      <c r="J49" s="5"/>
      <c r="K49" s="5"/>
    </row>
    <row r="50" spans="2:11" ht="15.75" thickBot="1" x14ac:dyDescent="0.3">
      <c r="B50" s="1046"/>
      <c r="C50" s="92"/>
      <c r="D50" s="40" t="s">
        <v>44</v>
      </c>
      <c r="E50" s="237"/>
      <c r="F50" s="5"/>
      <c r="G50" s="5"/>
      <c r="H50" s="5"/>
      <c r="I50" s="5"/>
      <c r="J50" s="5"/>
      <c r="K50" s="5"/>
    </row>
    <row r="51" spans="2:11" ht="15.75" thickBot="1" x14ac:dyDescent="0.3">
      <c r="B51" s="1047"/>
      <c r="C51" s="2"/>
      <c r="D51" s="40" t="s">
        <v>45</v>
      </c>
      <c r="E51" s="237"/>
      <c r="F51" s="5"/>
      <c r="G51" s="5"/>
      <c r="H51" s="5"/>
      <c r="I51" s="5"/>
      <c r="J51" s="5"/>
      <c r="K51" s="5"/>
    </row>
    <row r="52" spans="2:11" ht="15.75" thickBot="1" x14ac:dyDescent="0.3">
      <c r="B52" s="1"/>
      <c r="C52" s="74"/>
      <c r="D52" s="5"/>
      <c r="E52" s="5"/>
      <c r="F52" s="5"/>
      <c r="G52" s="5"/>
      <c r="H52" s="5"/>
      <c r="I52" s="5"/>
      <c r="J52" s="5"/>
      <c r="K52" s="5"/>
    </row>
    <row r="53" spans="2:11" ht="15" customHeight="1" thickBot="1" x14ac:dyDescent="0.3">
      <c r="B53" s="120" t="s">
        <v>49</v>
      </c>
      <c r="C53" s="121"/>
      <c r="D53" s="121"/>
      <c r="E53" s="122"/>
      <c r="G53" s="5"/>
      <c r="H53" s="5"/>
      <c r="I53" s="5"/>
      <c r="J53" s="5"/>
      <c r="K53" s="5"/>
    </row>
    <row r="54" spans="2:11" ht="24.75" thickBot="1" x14ac:dyDescent="0.3">
      <c r="B54" s="46" t="s">
        <v>50</v>
      </c>
      <c r="C54" s="40" t="s">
        <v>51</v>
      </c>
      <c r="D54" s="40" t="s">
        <v>52</v>
      </c>
      <c r="E54" s="40" t="s">
        <v>53</v>
      </c>
      <c r="F54" s="5"/>
      <c r="G54" s="5"/>
      <c r="H54" s="5"/>
      <c r="I54" s="5"/>
      <c r="J54" s="5"/>
    </row>
    <row r="55" spans="2:11" ht="72.75" thickBot="1" x14ac:dyDescent="0.3">
      <c r="B55" s="48">
        <v>42401</v>
      </c>
      <c r="C55" s="40">
        <v>0.01</v>
      </c>
      <c r="D55" s="40" t="s">
        <v>633</v>
      </c>
      <c r="E55" s="40"/>
      <c r="F55" s="5"/>
      <c r="G55" s="5"/>
      <c r="H55" s="5"/>
      <c r="I55" s="5"/>
      <c r="J55" s="5"/>
    </row>
    <row r="56" spans="2:11" ht="15.75" thickBot="1" x14ac:dyDescent="0.3">
      <c r="B56" s="1"/>
      <c r="C56" s="74"/>
      <c r="D56" s="5"/>
      <c r="E56" s="5"/>
      <c r="F56" s="5"/>
      <c r="G56" s="5"/>
      <c r="H56" s="5"/>
      <c r="I56" s="5"/>
      <c r="J56" s="5"/>
      <c r="K56" s="5"/>
    </row>
    <row r="57" spans="2:11" ht="15.75" thickBot="1" x14ac:dyDescent="0.3">
      <c r="B57" s="127" t="s">
        <v>55</v>
      </c>
      <c r="C57" s="94"/>
      <c r="D57" s="5"/>
      <c r="E57" s="5"/>
      <c r="F57" s="5"/>
      <c r="G57" s="5"/>
      <c r="H57" s="5"/>
      <c r="I57" s="5"/>
      <c r="J57" s="5"/>
      <c r="K57" s="5"/>
    </row>
    <row r="58" spans="2:11" x14ac:dyDescent="0.25">
      <c r="B58" s="1159"/>
      <c r="C58" s="1160"/>
      <c r="D58" s="1160"/>
      <c r="E58" s="1161"/>
      <c r="F58" s="5"/>
      <c r="G58" s="5"/>
      <c r="H58" s="5"/>
      <c r="I58" s="5"/>
      <c r="J58" s="5"/>
      <c r="K58" s="5"/>
    </row>
    <row r="59" spans="2:11" ht="15.75" thickBot="1" x14ac:dyDescent="0.3">
      <c r="B59" s="1162"/>
      <c r="C59" s="1163"/>
      <c r="D59" s="1163"/>
      <c r="E59" s="1164"/>
      <c r="F59" s="5"/>
      <c r="G59" s="5"/>
      <c r="H59" s="5"/>
      <c r="I59" s="5"/>
      <c r="J59" s="5"/>
      <c r="K59" s="5"/>
    </row>
    <row r="60" spans="2:11" ht="15.75" thickBot="1" x14ac:dyDescent="0.3">
      <c r="B60" s="5"/>
      <c r="D60" s="5"/>
      <c r="E60" s="5"/>
      <c r="F60" s="5"/>
      <c r="G60" s="5"/>
      <c r="H60" s="5"/>
      <c r="I60" s="5"/>
      <c r="J60" s="5"/>
      <c r="K60" s="5"/>
    </row>
    <row r="61" spans="2:11" ht="15.75" thickBot="1" x14ac:dyDescent="0.3">
      <c r="B61" s="1054" t="s">
        <v>450</v>
      </c>
      <c r="C61" s="1055"/>
      <c r="D61" s="1056"/>
      <c r="E61" s="5"/>
      <c r="F61" s="5"/>
      <c r="G61" s="5"/>
      <c r="H61" s="5"/>
      <c r="I61" s="5"/>
      <c r="J61" s="5"/>
      <c r="K61" s="5"/>
    </row>
    <row r="62" spans="2:11" ht="72.75" thickBot="1" x14ac:dyDescent="0.3">
      <c r="B62" s="46" t="s">
        <v>57</v>
      </c>
      <c r="C62" s="2"/>
      <c r="D62" s="40" t="s">
        <v>586</v>
      </c>
      <c r="E62" s="5"/>
      <c r="F62" s="5"/>
      <c r="G62" s="5"/>
      <c r="H62" s="5"/>
      <c r="I62" s="5"/>
      <c r="J62" s="5"/>
      <c r="K62" s="5"/>
    </row>
    <row r="63" spans="2:11" x14ac:dyDescent="0.25">
      <c r="B63" s="1045" t="s">
        <v>59</v>
      </c>
      <c r="C63" s="92"/>
      <c r="D63" s="52" t="s">
        <v>60</v>
      </c>
      <c r="E63" s="5"/>
      <c r="F63" s="5"/>
      <c r="G63" s="5"/>
      <c r="H63" s="5"/>
      <c r="I63" s="5"/>
      <c r="J63" s="5"/>
      <c r="K63" s="5"/>
    </row>
    <row r="64" spans="2:11" ht="132" x14ac:dyDescent="0.25">
      <c r="B64" s="1046"/>
      <c r="C64" s="92"/>
      <c r="D64" s="45" t="s">
        <v>587</v>
      </c>
      <c r="E64" s="5"/>
      <c r="F64" s="5"/>
      <c r="G64" s="5"/>
      <c r="H64" s="5"/>
      <c r="I64" s="5"/>
      <c r="J64" s="5"/>
      <c r="K64" s="5"/>
    </row>
    <row r="65" spans="2:11" x14ac:dyDescent="0.25">
      <c r="B65" s="1046"/>
      <c r="C65" s="92"/>
      <c r="D65" s="52" t="s">
        <v>63</v>
      </c>
      <c r="E65" s="5"/>
      <c r="F65" s="5"/>
      <c r="G65" s="5"/>
      <c r="H65" s="5"/>
      <c r="I65" s="5"/>
      <c r="J65" s="5"/>
      <c r="K65" s="5"/>
    </row>
    <row r="66" spans="2:11" ht="24" x14ac:dyDescent="0.25">
      <c r="B66" s="1046"/>
      <c r="C66" s="92"/>
      <c r="D66" s="45" t="s">
        <v>588</v>
      </c>
      <c r="E66" s="5"/>
      <c r="F66" s="5"/>
      <c r="G66" s="5"/>
      <c r="H66" s="5"/>
      <c r="I66" s="5"/>
      <c r="J66" s="5"/>
      <c r="K66" s="5"/>
    </row>
    <row r="67" spans="2:11" ht="24" x14ac:dyDescent="0.25">
      <c r="B67" s="1046"/>
      <c r="C67" s="92"/>
      <c r="D67" s="45" t="s">
        <v>589</v>
      </c>
      <c r="E67" s="5"/>
      <c r="F67" s="5"/>
      <c r="G67" s="5"/>
      <c r="H67" s="5"/>
      <c r="I67" s="5"/>
      <c r="J67" s="5"/>
      <c r="K67" s="5"/>
    </row>
    <row r="68" spans="2:11" ht="24" x14ac:dyDescent="0.25">
      <c r="B68" s="1046"/>
      <c r="C68" s="92"/>
      <c r="D68" s="45" t="s">
        <v>590</v>
      </c>
      <c r="E68" s="5"/>
      <c r="F68" s="5"/>
      <c r="G68" s="5"/>
      <c r="H68" s="5"/>
      <c r="I68" s="5"/>
      <c r="J68" s="5"/>
      <c r="K68" s="5"/>
    </row>
    <row r="69" spans="2:11" x14ac:dyDescent="0.25">
      <c r="B69" s="1046"/>
      <c r="C69" s="92"/>
      <c r="D69" s="45" t="s">
        <v>591</v>
      </c>
      <c r="E69" s="5"/>
      <c r="F69" s="5"/>
      <c r="G69" s="5"/>
      <c r="H69" s="5"/>
      <c r="I69" s="5"/>
      <c r="J69" s="5"/>
      <c r="K69" s="5"/>
    </row>
    <row r="70" spans="2:11" x14ac:dyDescent="0.25">
      <c r="B70" s="1046"/>
      <c r="C70" s="92"/>
      <c r="D70" s="45" t="s">
        <v>592</v>
      </c>
      <c r="E70" s="5"/>
      <c r="F70" s="5"/>
      <c r="G70" s="5"/>
      <c r="H70" s="5"/>
      <c r="I70" s="5"/>
      <c r="J70" s="5"/>
      <c r="K70" s="5"/>
    </row>
    <row r="71" spans="2:11" x14ac:dyDescent="0.25">
      <c r="B71" s="1046"/>
      <c r="C71" s="92"/>
      <c r="D71" s="45" t="s">
        <v>593</v>
      </c>
      <c r="E71" s="5"/>
      <c r="F71" s="5"/>
      <c r="G71" s="5"/>
      <c r="H71" s="5"/>
      <c r="I71" s="5"/>
      <c r="J71" s="5"/>
      <c r="K71" s="5"/>
    </row>
    <row r="72" spans="2:11" x14ac:dyDescent="0.25">
      <c r="B72" s="1046"/>
      <c r="C72" s="92"/>
      <c r="D72" s="52" t="s">
        <v>288</v>
      </c>
      <c r="E72" s="5"/>
      <c r="F72" s="5"/>
      <c r="G72" s="5"/>
      <c r="H72" s="5"/>
      <c r="I72" s="5"/>
      <c r="J72" s="5"/>
      <c r="K72" s="5"/>
    </row>
    <row r="73" spans="2:11" ht="48" x14ac:dyDescent="0.25">
      <c r="B73" s="1046"/>
      <c r="C73" s="92"/>
      <c r="D73" s="45" t="s">
        <v>594</v>
      </c>
      <c r="E73" s="5"/>
      <c r="F73" s="5"/>
      <c r="G73" s="5"/>
      <c r="H73" s="5"/>
      <c r="I73" s="5"/>
      <c r="J73" s="5"/>
      <c r="K73" s="5"/>
    </row>
    <row r="74" spans="2:11" ht="15.75" thickBot="1" x14ac:dyDescent="0.3">
      <c r="B74" s="1047"/>
      <c r="C74" s="2"/>
      <c r="D74" s="67"/>
      <c r="E74" s="5"/>
      <c r="F74" s="5"/>
      <c r="G74" s="5"/>
      <c r="H74" s="5"/>
      <c r="I74" s="5"/>
      <c r="J74" s="5"/>
      <c r="K74" s="5"/>
    </row>
    <row r="75" spans="2:11" x14ac:dyDescent="0.25">
      <c r="B75" s="1045" t="s">
        <v>72</v>
      </c>
      <c r="C75" s="97"/>
      <c r="D75" s="1045"/>
      <c r="E75" s="5"/>
      <c r="F75" s="5"/>
      <c r="G75" s="5"/>
      <c r="H75" s="5"/>
      <c r="I75" s="5"/>
      <c r="J75" s="5"/>
      <c r="K75" s="5"/>
    </row>
    <row r="76" spans="2:11" ht="15.75" thickBot="1" x14ac:dyDescent="0.3">
      <c r="B76" s="1047"/>
      <c r="C76" s="98"/>
      <c r="D76" s="1047"/>
      <c r="E76" s="5"/>
      <c r="F76" s="5"/>
      <c r="G76" s="5"/>
      <c r="H76" s="5"/>
      <c r="I76" s="5"/>
      <c r="J76" s="5"/>
      <c r="K76" s="5"/>
    </row>
    <row r="77" spans="2:11" ht="15.75" thickBot="1" x14ac:dyDescent="0.3">
      <c r="B77" s="37"/>
      <c r="C77" s="86"/>
      <c r="D77" s="5"/>
      <c r="E77" s="5"/>
      <c r="F77" s="5"/>
      <c r="G77" s="5"/>
      <c r="H77" s="5"/>
      <c r="I77" s="5"/>
      <c r="J77" s="5"/>
      <c r="K77" s="5"/>
    </row>
    <row r="78" spans="2:11" ht="180" x14ac:dyDescent="0.25">
      <c r="B78" s="1045" t="s">
        <v>73</v>
      </c>
      <c r="C78" s="103"/>
      <c r="D78" s="62" t="s">
        <v>595</v>
      </c>
      <c r="E78" s="5"/>
      <c r="F78" s="5"/>
      <c r="G78" s="5"/>
      <c r="H78" s="5"/>
      <c r="I78" s="5"/>
      <c r="J78" s="5"/>
      <c r="K78" s="5"/>
    </row>
    <row r="79" spans="2:11" ht="204" x14ac:dyDescent="0.25">
      <c r="B79" s="1046"/>
      <c r="C79" s="92"/>
      <c r="D79" s="45" t="s">
        <v>596</v>
      </c>
      <c r="E79" s="5"/>
      <c r="F79" s="5"/>
      <c r="G79" s="5"/>
      <c r="H79" s="5"/>
      <c r="I79" s="5"/>
      <c r="J79" s="5"/>
      <c r="K79" s="5"/>
    </row>
    <row r="80" spans="2:11" ht="48" x14ac:dyDescent="0.25">
      <c r="B80" s="1046"/>
      <c r="C80" s="92"/>
      <c r="D80" s="45" t="s">
        <v>597</v>
      </c>
      <c r="E80" s="5"/>
      <c r="F80" s="5"/>
      <c r="G80" s="5"/>
      <c r="H80" s="5"/>
      <c r="I80" s="5"/>
      <c r="J80" s="5"/>
      <c r="K80" s="5"/>
    </row>
    <row r="81" spans="2:11" ht="24" x14ac:dyDescent="0.25">
      <c r="B81" s="1046"/>
      <c r="C81" s="92"/>
      <c r="D81" s="45" t="s">
        <v>598</v>
      </c>
      <c r="E81" s="5"/>
      <c r="F81" s="5"/>
      <c r="G81" s="5"/>
      <c r="H81" s="5"/>
      <c r="I81" s="5"/>
      <c r="J81" s="5"/>
      <c r="K81" s="5"/>
    </row>
    <row r="82" spans="2:11" ht="60" x14ac:dyDescent="0.25">
      <c r="B82" s="1046"/>
      <c r="C82" s="92"/>
      <c r="D82" s="45" t="s">
        <v>599</v>
      </c>
      <c r="E82" s="5"/>
      <c r="F82" s="5"/>
      <c r="G82" s="5"/>
      <c r="H82" s="5"/>
      <c r="I82" s="5"/>
      <c r="J82" s="5"/>
      <c r="K82" s="5"/>
    </row>
    <row r="83" spans="2:11" ht="24" x14ac:dyDescent="0.25">
      <c r="B83" s="1046"/>
      <c r="C83" s="92"/>
      <c r="D83" s="45" t="s">
        <v>600</v>
      </c>
      <c r="E83" s="5"/>
      <c r="F83" s="5"/>
      <c r="G83" s="5"/>
      <c r="H83" s="5"/>
      <c r="I83" s="5"/>
      <c r="J83" s="5"/>
      <c r="K83" s="5"/>
    </row>
    <row r="84" spans="2:11" ht="24" x14ac:dyDescent="0.25">
      <c r="B84" s="1046"/>
      <c r="C84" s="92"/>
      <c r="D84" s="45" t="s">
        <v>601</v>
      </c>
      <c r="E84" s="5"/>
      <c r="F84" s="5"/>
      <c r="G84" s="5"/>
      <c r="H84" s="5"/>
      <c r="I84" s="5"/>
      <c r="J84" s="5"/>
      <c r="K84" s="5"/>
    </row>
    <row r="85" spans="2:11" ht="36" x14ac:dyDescent="0.25">
      <c r="B85" s="1046"/>
      <c r="C85" s="92"/>
      <c r="D85" s="45" t="s">
        <v>602</v>
      </c>
      <c r="E85" s="5"/>
      <c r="F85" s="5"/>
      <c r="G85" s="5"/>
      <c r="H85" s="5"/>
      <c r="I85" s="5"/>
      <c r="J85" s="5"/>
      <c r="K85" s="5"/>
    </row>
    <row r="86" spans="2:11" ht="24" x14ac:dyDescent="0.25">
      <c r="B86" s="1046"/>
      <c r="C86" s="92"/>
      <c r="D86" s="45" t="s">
        <v>603</v>
      </c>
      <c r="E86" s="5"/>
      <c r="F86" s="5"/>
      <c r="G86" s="5"/>
      <c r="H86" s="5"/>
      <c r="I86" s="5"/>
      <c r="J86" s="5"/>
      <c r="K86" s="5"/>
    </row>
    <row r="87" spans="2:11" ht="24" x14ac:dyDescent="0.25">
      <c r="B87" s="1046"/>
      <c r="C87" s="92"/>
      <c r="D87" s="45" t="s">
        <v>604</v>
      </c>
      <c r="E87" s="5"/>
      <c r="F87" s="5"/>
      <c r="G87" s="5"/>
      <c r="H87" s="5"/>
      <c r="I87" s="5"/>
      <c r="J87" s="5"/>
      <c r="K87" s="5"/>
    </row>
    <row r="88" spans="2:11" ht="24" x14ac:dyDescent="0.25">
      <c r="B88" s="1046"/>
      <c r="C88" s="92"/>
      <c r="D88" s="45" t="s">
        <v>605</v>
      </c>
      <c r="E88" s="5"/>
      <c r="F88" s="5"/>
      <c r="G88" s="5"/>
      <c r="H88" s="5"/>
      <c r="I88" s="5"/>
      <c r="J88" s="5"/>
      <c r="K88" s="5"/>
    </row>
    <row r="89" spans="2:11" ht="36" x14ac:dyDescent="0.25">
      <c r="B89" s="1046"/>
      <c r="C89" s="92"/>
      <c r="D89" s="45" t="s">
        <v>606</v>
      </c>
      <c r="E89" s="5"/>
      <c r="F89" s="5"/>
      <c r="G89" s="5"/>
      <c r="H89" s="5"/>
      <c r="I89" s="5"/>
      <c r="J89" s="5"/>
      <c r="K89" s="5"/>
    </row>
    <row r="90" spans="2:11" ht="24" x14ac:dyDescent="0.25">
      <c r="B90" s="1046"/>
      <c r="C90" s="92"/>
      <c r="D90" s="45" t="s">
        <v>607</v>
      </c>
      <c r="E90" s="5"/>
      <c r="F90" s="5"/>
      <c r="G90" s="5"/>
      <c r="H90" s="5"/>
      <c r="I90" s="5"/>
      <c r="J90" s="5"/>
      <c r="K90" s="5"/>
    </row>
    <row r="91" spans="2:11" ht="60.75" thickBot="1" x14ac:dyDescent="0.3">
      <c r="B91" s="1047"/>
      <c r="C91" s="2"/>
      <c r="D91" s="40" t="s">
        <v>608</v>
      </c>
      <c r="E91" s="5"/>
      <c r="F91" s="5"/>
      <c r="G91" s="5"/>
      <c r="H91" s="5"/>
      <c r="I91" s="5"/>
      <c r="J91" s="5"/>
      <c r="K91" s="5"/>
    </row>
    <row r="92" spans="2:11" ht="36" x14ac:dyDescent="0.25">
      <c r="B92" s="1045" t="s">
        <v>90</v>
      </c>
      <c r="C92" s="92"/>
      <c r="D92" s="52" t="s">
        <v>609</v>
      </c>
      <c r="E92" s="5"/>
      <c r="F92" s="5"/>
      <c r="G92" s="5"/>
      <c r="H92" s="5"/>
      <c r="I92" s="5"/>
      <c r="J92" s="5"/>
      <c r="K92" s="5"/>
    </row>
    <row r="93" spans="2:11" ht="36" x14ac:dyDescent="0.25">
      <c r="B93" s="1046"/>
      <c r="C93" s="92"/>
      <c r="D93" s="45" t="s">
        <v>610</v>
      </c>
      <c r="E93" s="5"/>
      <c r="F93" s="5"/>
      <c r="G93" s="5"/>
      <c r="H93" s="5"/>
      <c r="I93" s="5"/>
      <c r="J93" s="5"/>
      <c r="K93" s="5"/>
    </row>
    <row r="94" spans="2:11" x14ac:dyDescent="0.25">
      <c r="B94" s="1046"/>
      <c r="C94" s="92"/>
      <c r="D94" s="16"/>
      <c r="E94" s="5"/>
      <c r="F94" s="5"/>
      <c r="G94" s="5"/>
      <c r="H94" s="5"/>
      <c r="I94" s="5"/>
      <c r="J94" s="5"/>
      <c r="K94" s="5"/>
    </row>
    <row r="95" spans="2:11" x14ac:dyDescent="0.25">
      <c r="B95" s="1046"/>
      <c r="C95" s="92"/>
      <c r="D95" s="45" t="s">
        <v>91</v>
      </c>
      <c r="E95" s="5"/>
      <c r="F95" s="5"/>
      <c r="G95" s="5"/>
      <c r="H95" s="5"/>
      <c r="I95" s="5"/>
      <c r="J95" s="5"/>
      <c r="K95" s="5"/>
    </row>
    <row r="96" spans="2:11" ht="37.5" x14ac:dyDescent="0.25">
      <c r="B96" s="1046"/>
      <c r="C96" s="92"/>
      <c r="D96" s="45" t="s">
        <v>611</v>
      </c>
      <c r="E96" s="5"/>
      <c r="F96" s="5"/>
      <c r="G96" s="5"/>
      <c r="H96" s="5"/>
      <c r="I96" s="5"/>
      <c r="J96" s="5"/>
      <c r="K96" s="5"/>
    </row>
    <row r="97" spans="2:11" ht="49.5" x14ac:dyDescent="0.25">
      <c r="B97" s="1046"/>
      <c r="C97" s="92"/>
      <c r="D97" s="45" t="s">
        <v>612</v>
      </c>
      <c r="E97" s="5"/>
      <c r="F97" s="5"/>
      <c r="G97" s="5"/>
      <c r="H97" s="5"/>
      <c r="I97" s="5"/>
      <c r="J97" s="5"/>
      <c r="K97" s="5"/>
    </row>
    <row r="98" spans="2:11" ht="25.5" x14ac:dyDescent="0.25">
      <c r="B98" s="1046"/>
      <c r="C98" s="92"/>
      <c r="D98" s="45" t="s">
        <v>613</v>
      </c>
      <c r="E98" s="5"/>
      <c r="F98" s="5"/>
      <c r="G98" s="5"/>
      <c r="H98" s="5"/>
      <c r="I98" s="5"/>
      <c r="J98" s="5"/>
      <c r="K98" s="5"/>
    </row>
    <row r="99" spans="2:11" x14ac:dyDescent="0.25">
      <c r="B99" s="1046"/>
      <c r="C99" s="92"/>
      <c r="D99" s="45" t="s">
        <v>614</v>
      </c>
      <c r="E99" s="5"/>
      <c r="F99" s="5"/>
      <c r="G99" s="5"/>
      <c r="H99" s="5"/>
      <c r="I99" s="5"/>
      <c r="J99" s="5"/>
      <c r="K99" s="5"/>
    </row>
    <row r="100" spans="2:11" ht="48.75" thickBot="1" x14ac:dyDescent="0.3">
      <c r="B100" s="1047"/>
      <c r="C100" s="2"/>
      <c r="D100" s="70" t="s">
        <v>615</v>
      </c>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sheetData>
  <mergeCells count="32">
    <mergeCell ref="B10:D10"/>
    <mergeCell ref="F10:S10"/>
    <mergeCell ref="F11:S11"/>
    <mergeCell ref="E12:R12"/>
    <mergeCell ref="E13:R13"/>
    <mergeCell ref="B78:B91"/>
    <mergeCell ref="B92:B100"/>
    <mergeCell ref="B61:D61"/>
    <mergeCell ref="B63:B74"/>
    <mergeCell ref="B75:B76"/>
    <mergeCell ref="D75:D76"/>
    <mergeCell ref="B15:B19"/>
    <mergeCell ref="B45:B51"/>
    <mergeCell ref="B58:E59"/>
    <mergeCell ref="D15:K15"/>
    <mergeCell ref="D16:K16"/>
    <mergeCell ref="D19:K19"/>
    <mergeCell ref="D31:K31"/>
    <mergeCell ref="C20:C21"/>
    <mergeCell ref="D20:D21"/>
    <mergeCell ref="E20:E21"/>
    <mergeCell ref="F20:J20"/>
    <mergeCell ref="D32:K32"/>
    <mergeCell ref="D33:K33"/>
    <mergeCell ref="B35:E35"/>
    <mergeCell ref="B36:B42"/>
    <mergeCell ref="B44:E44"/>
    <mergeCell ref="A1:P1"/>
    <mergeCell ref="A2:P2"/>
    <mergeCell ref="A3:P3"/>
    <mergeCell ref="A4:D4"/>
    <mergeCell ref="A5:P5"/>
  </mergeCells>
  <conditionalFormatting sqref="H30">
    <cfRule type="containsText" dxfId="66" priority="5" operator="containsText" text="ERROR">
      <formula>NOT(ISERROR(SEARCH("ERROR",H30)))</formula>
    </cfRule>
  </conditionalFormatting>
  <conditionalFormatting sqref="F10">
    <cfRule type="notContainsBlanks" dxfId="65" priority="4">
      <formula>LEN(TRIM(F10))&gt;0</formula>
    </cfRule>
  </conditionalFormatting>
  <conditionalFormatting sqref="F11:S11">
    <cfRule type="expression" dxfId="64" priority="2">
      <formula>E11="NO SE REPORTA"</formula>
    </cfRule>
    <cfRule type="expression" dxfId="63" priority="3">
      <formula>E10="NO APLICA"</formula>
    </cfRule>
  </conditionalFormatting>
  <conditionalFormatting sqref="E12:R12">
    <cfRule type="expression" dxfId="62"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8:H18">
      <formula1>0</formula1>
    </dataValidation>
    <dataValidation type="decimal" allowBlank="1" showInputMessage="1" showErrorMessage="1" errorTitle="ERROR" error="Escriba un valor entre 0% y 100%" sqref="F22:H29">
      <formula1>0</formula1>
      <formula2>1</formula2>
    </dataValidation>
    <dataValidation allowBlank="1" showInputMessage="1" showErrorMessage="1" sqref="H30 I22:I30"/>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40" r:id="rId1"/>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zoomScale="98" zoomScaleNormal="98" workbookViewId="0">
      <selection activeCell="N23" sqref="N23"/>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634</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INFORMACION",+G22))</f>
        <v>1</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1931</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75" thickBot="1" x14ac:dyDescent="0.3">
      <c r="B15" s="1045" t="s">
        <v>2</v>
      </c>
      <c r="C15" s="87"/>
      <c r="D15" s="1036" t="s">
        <v>3</v>
      </c>
      <c r="E15" s="1037"/>
      <c r="F15" s="1037"/>
      <c r="G15" s="1037"/>
      <c r="H15" s="1037"/>
      <c r="I15" s="1038"/>
      <c r="J15" s="5"/>
      <c r="K15" s="5"/>
    </row>
    <row r="16" spans="1:21" ht="36.75" thickBot="1" x14ac:dyDescent="0.3">
      <c r="B16" s="1046"/>
      <c r="C16" s="92"/>
      <c r="D16" s="42" t="s">
        <v>648</v>
      </c>
      <c r="E16" s="6">
        <v>30</v>
      </c>
      <c r="F16" s="5"/>
      <c r="G16" s="5"/>
      <c r="H16" s="5"/>
      <c r="I16" s="21"/>
      <c r="J16" s="5"/>
      <c r="K16" s="5"/>
    </row>
    <row r="17" spans="2:11" ht="72.75" thickBot="1" x14ac:dyDescent="0.3">
      <c r="B17" s="1046"/>
      <c r="C17" s="92"/>
      <c r="D17" s="40" t="s">
        <v>649</v>
      </c>
      <c r="E17" s="6">
        <v>30</v>
      </c>
      <c r="F17" s="5"/>
      <c r="G17" s="5"/>
      <c r="H17" s="5"/>
      <c r="I17" s="21"/>
      <c r="J17" s="5"/>
      <c r="K17" s="5"/>
    </row>
    <row r="18" spans="2:11" ht="15.75" thickBot="1" x14ac:dyDescent="0.3">
      <c r="B18" s="1046"/>
      <c r="C18" s="90"/>
      <c r="D18" s="1051"/>
      <c r="E18" s="1052"/>
      <c r="F18" s="1052"/>
      <c r="G18" s="1052"/>
      <c r="H18" s="1052"/>
      <c r="I18" s="1053"/>
      <c r="J18" s="5"/>
      <c r="K18" s="5"/>
    </row>
    <row r="19" spans="2:11" ht="15.75" thickBot="1" x14ac:dyDescent="0.3">
      <c r="B19" s="1046"/>
      <c r="C19" s="92"/>
      <c r="D19" s="42" t="s">
        <v>150</v>
      </c>
      <c r="E19" s="38" t="s">
        <v>20</v>
      </c>
      <c r="F19" s="38" t="s">
        <v>21</v>
      </c>
      <c r="G19" s="38" t="s">
        <v>22</v>
      </c>
      <c r="H19" s="38" t="s">
        <v>23</v>
      </c>
      <c r="I19" s="38" t="s">
        <v>151</v>
      </c>
      <c r="J19" s="5"/>
      <c r="K19" s="5"/>
    </row>
    <row r="20" spans="2:11" ht="48.75" thickBot="1" x14ac:dyDescent="0.3">
      <c r="B20" s="1046"/>
      <c r="C20" s="92"/>
      <c r="D20" s="40" t="s">
        <v>650</v>
      </c>
      <c r="E20" s="6">
        <v>30</v>
      </c>
      <c r="F20" s="6">
        <v>30</v>
      </c>
      <c r="G20" s="6">
        <v>30</v>
      </c>
      <c r="H20" s="6"/>
      <c r="I20" s="41">
        <f>SUM(E20:H20)</f>
        <v>90</v>
      </c>
      <c r="J20" s="5"/>
      <c r="K20" s="5"/>
    </row>
    <row r="21" spans="2:11" ht="36.75" thickBot="1" x14ac:dyDescent="0.3">
      <c r="B21" s="1046"/>
      <c r="C21" s="92"/>
      <c r="D21" s="40" t="s">
        <v>651</v>
      </c>
      <c r="E21" s="6">
        <v>30</v>
      </c>
      <c r="F21" s="6">
        <v>30</v>
      </c>
      <c r="G21" s="6">
        <v>30</v>
      </c>
      <c r="H21" s="6"/>
      <c r="I21" s="41">
        <f>SUM(E21:H21)</f>
        <v>90</v>
      </c>
      <c r="J21" s="5"/>
      <c r="K21" s="5"/>
    </row>
    <row r="22" spans="2:11" ht="48.75" thickBot="1" x14ac:dyDescent="0.3">
      <c r="B22" s="1047"/>
      <c r="C22" s="2"/>
      <c r="D22" s="40" t="s">
        <v>652</v>
      </c>
      <c r="E22" s="135">
        <f>IFERROR(E21/E20,0)</f>
        <v>1</v>
      </c>
      <c r="F22" s="135">
        <f>IFERROR(F21/F20,0)</f>
        <v>1</v>
      </c>
      <c r="G22" s="135">
        <f>IFERROR(G21/G20,0)</f>
        <v>1</v>
      </c>
      <c r="H22" s="135">
        <f>IFERROR(H21/H20,0)</f>
        <v>0</v>
      </c>
      <c r="I22" s="135">
        <f>IFERROR(I21/I20,0)</f>
        <v>1</v>
      </c>
      <c r="J22" s="5"/>
      <c r="K22" s="5"/>
    </row>
    <row r="23" spans="2:11" ht="36" customHeight="1" thickBot="1" x14ac:dyDescent="0.3">
      <c r="B23" s="46" t="s">
        <v>34</v>
      </c>
      <c r="C23" s="91"/>
      <c r="D23" s="1048" t="s">
        <v>653</v>
      </c>
      <c r="E23" s="1049"/>
      <c r="F23" s="1049"/>
      <c r="G23" s="1049"/>
      <c r="H23" s="1049"/>
      <c r="I23" s="1050"/>
      <c r="J23" s="5"/>
      <c r="K23" s="5"/>
    </row>
    <row r="24" spans="2:11" ht="36" customHeight="1" thickBot="1" x14ac:dyDescent="0.3">
      <c r="B24" s="46" t="s">
        <v>36</v>
      </c>
      <c r="C24" s="91"/>
      <c r="D24" s="1048" t="s">
        <v>159</v>
      </c>
      <c r="E24" s="1049"/>
      <c r="F24" s="1049"/>
      <c r="G24" s="1049"/>
      <c r="H24" s="1049"/>
      <c r="I24" s="1050"/>
      <c r="J24" s="5"/>
      <c r="K24" s="5"/>
    </row>
    <row r="25" spans="2:11" ht="15.75" thickBot="1" x14ac:dyDescent="0.3">
      <c r="B25" s="37"/>
      <c r="C25" s="86"/>
      <c r="D25" s="5"/>
      <c r="E25" s="5"/>
      <c r="F25" s="5"/>
      <c r="G25" s="5"/>
      <c r="H25" s="5"/>
      <c r="I25" s="5"/>
      <c r="J25" s="5"/>
      <c r="K25" s="5"/>
    </row>
    <row r="26" spans="2:11" ht="24" customHeight="1" thickBot="1" x14ac:dyDescent="0.3">
      <c r="B26" s="1054" t="s">
        <v>38</v>
      </c>
      <c r="C26" s="1055"/>
      <c r="D26" s="1055"/>
      <c r="E26" s="1056"/>
      <c r="F26" s="5"/>
      <c r="G26" s="5"/>
      <c r="H26" s="5"/>
      <c r="I26" s="5"/>
      <c r="J26" s="5"/>
      <c r="K26" s="5"/>
    </row>
    <row r="27" spans="2:11" ht="15.75" thickBot="1" x14ac:dyDescent="0.3">
      <c r="B27" s="1045">
        <v>1</v>
      </c>
      <c r="C27" s="92"/>
      <c r="D27" s="47" t="s">
        <v>39</v>
      </c>
      <c r="E27" s="30" t="s">
        <v>1771</v>
      </c>
      <c r="F27" s="5"/>
      <c r="G27" s="5"/>
      <c r="H27" s="5"/>
      <c r="I27" s="5"/>
      <c r="J27" s="5"/>
      <c r="K27" s="5"/>
    </row>
    <row r="28" spans="2:11" ht="15.75" thickBot="1" x14ac:dyDescent="0.3">
      <c r="B28" s="1046"/>
      <c r="C28" s="92"/>
      <c r="D28" s="40" t="s">
        <v>40</v>
      </c>
      <c r="E28" s="30" t="s">
        <v>1776</v>
      </c>
      <c r="F28" s="5"/>
      <c r="G28" s="5"/>
      <c r="H28" s="5"/>
      <c r="I28" s="5"/>
      <c r="J28" s="5"/>
      <c r="K28" s="5"/>
    </row>
    <row r="29" spans="2:11" ht="15.75" thickBot="1" x14ac:dyDescent="0.3">
      <c r="B29" s="1046"/>
      <c r="C29" s="92"/>
      <c r="D29" s="40" t="s">
        <v>41</v>
      </c>
      <c r="E29" s="30" t="s">
        <v>1777</v>
      </c>
      <c r="F29" s="5"/>
      <c r="G29" s="5"/>
      <c r="H29" s="5"/>
      <c r="I29" s="5"/>
      <c r="J29" s="5"/>
      <c r="K29" s="5"/>
    </row>
    <row r="30" spans="2:11" ht="15.75" thickBot="1" x14ac:dyDescent="0.3">
      <c r="B30" s="1046"/>
      <c r="C30" s="92"/>
      <c r="D30" s="40" t="s">
        <v>42</v>
      </c>
      <c r="E30" s="30" t="s">
        <v>1778</v>
      </c>
      <c r="F30" s="5"/>
      <c r="G30" s="5"/>
      <c r="H30" s="5"/>
      <c r="I30" s="5"/>
      <c r="J30" s="5"/>
      <c r="K30" s="5"/>
    </row>
    <row r="31" spans="2:11" ht="15.75" thickBot="1" x14ac:dyDescent="0.3">
      <c r="B31" s="1046"/>
      <c r="C31" s="92"/>
      <c r="D31" s="40" t="s">
        <v>43</v>
      </c>
      <c r="E31" s="515" t="s">
        <v>1779</v>
      </c>
      <c r="F31" s="5"/>
      <c r="G31" s="5"/>
      <c r="H31" s="5"/>
      <c r="I31" s="5"/>
      <c r="J31" s="5"/>
      <c r="K31" s="5"/>
    </row>
    <row r="32" spans="2:11" ht="15.75" thickBot="1" x14ac:dyDescent="0.3">
      <c r="B32" s="1046"/>
      <c r="C32" s="92"/>
      <c r="D32" s="40" t="s">
        <v>44</v>
      </c>
      <c r="E32" s="30">
        <v>4380200</v>
      </c>
      <c r="F32" s="5"/>
      <c r="G32" s="5"/>
      <c r="H32" s="5"/>
      <c r="I32" s="5"/>
      <c r="J32" s="5"/>
      <c r="K32" s="5"/>
    </row>
    <row r="33" spans="2:11" ht="15.75" thickBot="1" x14ac:dyDescent="0.3">
      <c r="B33" s="1047"/>
      <c r="C33" s="2"/>
      <c r="D33" s="40" t="s">
        <v>45</v>
      </c>
      <c r="E33" s="30" t="s">
        <v>1773</v>
      </c>
      <c r="F33" s="5"/>
      <c r="G33" s="5"/>
      <c r="H33" s="5"/>
      <c r="I33" s="5"/>
      <c r="J33" s="5"/>
      <c r="K33" s="5"/>
    </row>
    <row r="34" spans="2:11" ht="15.75" thickBot="1" x14ac:dyDescent="0.3">
      <c r="B34" s="1"/>
      <c r="C34" s="74"/>
      <c r="D34" s="5"/>
      <c r="E34" s="5"/>
      <c r="F34" s="5"/>
      <c r="G34" s="5"/>
      <c r="H34" s="5"/>
      <c r="I34" s="5"/>
      <c r="J34" s="5"/>
      <c r="K34" s="5"/>
    </row>
    <row r="35" spans="2:11" ht="15.75" thickBot="1" x14ac:dyDescent="0.3">
      <c r="B35" s="1054" t="s">
        <v>46</v>
      </c>
      <c r="C35" s="1055"/>
      <c r="D35" s="1055"/>
      <c r="E35" s="1056"/>
      <c r="F35" s="5"/>
      <c r="G35" s="5"/>
      <c r="H35" s="5"/>
      <c r="I35" s="5"/>
      <c r="J35" s="5"/>
      <c r="K35" s="5"/>
    </row>
    <row r="36" spans="2:11" ht="15.75" thickBot="1" x14ac:dyDescent="0.3">
      <c r="B36" s="1045">
        <v>1</v>
      </c>
      <c r="C36" s="92"/>
      <c r="D36" s="47" t="s">
        <v>39</v>
      </c>
      <c r="E36" s="217" t="s">
        <v>47</v>
      </c>
      <c r="F36" s="5"/>
      <c r="G36" s="5"/>
      <c r="H36" s="5"/>
      <c r="I36" s="5"/>
      <c r="J36" s="5"/>
      <c r="K36" s="5"/>
    </row>
    <row r="37" spans="2:11" ht="15.75" thickBot="1" x14ac:dyDescent="0.3">
      <c r="B37" s="1046"/>
      <c r="C37" s="92"/>
      <c r="D37" s="40" t="s">
        <v>40</v>
      </c>
      <c r="E37" s="217" t="s">
        <v>160</v>
      </c>
      <c r="F37" s="5"/>
      <c r="G37" s="5"/>
      <c r="H37" s="5"/>
      <c r="I37" s="5"/>
      <c r="J37" s="5"/>
      <c r="K37" s="5"/>
    </row>
    <row r="38" spans="2:11" ht="15.75" thickBot="1" x14ac:dyDescent="0.3">
      <c r="B38" s="1046"/>
      <c r="C38" s="92"/>
      <c r="D38" s="40" t="s">
        <v>41</v>
      </c>
      <c r="E38" s="237"/>
      <c r="F38" s="5"/>
      <c r="G38" s="5"/>
      <c r="H38" s="5"/>
      <c r="I38" s="5"/>
      <c r="J38" s="5"/>
      <c r="K38" s="5"/>
    </row>
    <row r="39" spans="2:11" ht="15.75" thickBot="1" x14ac:dyDescent="0.3">
      <c r="B39" s="1046"/>
      <c r="C39" s="92"/>
      <c r="D39" s="40" t="s">
        <v>42</v>
      </c>
      <c r="E39" s="237"/>
      <c r="F39" s="5"/>
      <c r="G39" s="5"/>
      <c r="H39" s="5"/>
      <c r="I39" s="5"/>
      <c r="J39" s="5"/>
      <c r="K39" s="5"/>
    </row>
    <row r="40" spans="2:11" ht="15.75" thickBot="1" x14ac:dyDescent="0.3">
      <c r="B40" s="1046"/>
      <c r="C40" s="92"/>
      <c r="D40" s="40" t="s">
        <v>43</v>
      </c>
      <c r="E40" s="237"/>
      <c r="F40" s="5"/>
      <c r="G40" s="5"/>
      <c r="H40" s="5"/>
      <c r="I40" s="5"/>
      <c r="J40" s="5"/>
      <c r="K40" s="5"/>
    </row>
    <row r="41" spans="2:11" ht="15.75" thickBot="1" x14ac:dyDescent="0.3">
      <c r="B41" s="1046"/>
      <c r="C41" s="92"/>
      <c r="D41" s="40" t="s">
        <v>44</v>
      </c>
      <c r="E41" s="237"/>
      <c r="F41" s="5"/>
      <c r="G41" s="5"/>
      <c r="H41" s="5"/>
      <c r="I41" s="5"/>
      <c r="J41" s="5"/>
      <c r="K41" s="5"/>
    </row>
    <row r="42" spans="2:11" ht="15.75" thickBot="1" x14ac:dyDescent="0.3">
      <c r="B42" s="1047"/>
      <c r="C42" s="2"/>
      <c r="D42" s="40" t="s">
        <v>45</v>
      </c>
      <c r="E42" s="237"/>
      <c r="F42" s="5"/>
      <c r="G42" s="5"/>
      <c r="H42" s="5"/>
      <c r="I42" s="5"/>
      <c r="J42" s="5"/>
      <c r="K42" s="5"/>
    </row>
    <row r="43" spans="2:11" ht="15.75" thickBot="1" x14ac:dyDescent="0.3">
      <c r="B43" s="37"/>
      <c r="C43" s="86"/>
      <c r="D43" s="5"/>
      <c r="E43" s="5"/>
      <c r="F43" s="5"/>
      <c r="G43" s="5"/>
      <c r="H43" s="5"/>
      <c r="I43" s="5"/>
      <c r="J43" s="5"/>
      <c r="K43" s="5"/>
    </row>
    <row r="44" spans="2:11" ht="15" customHeight="1" thickBot="1" x14ac:dyDescent="0.3">
      <c r="B44" s="117" t="s">
        <v>49</v>
      </c>
      <c r="C44" s="118"/>
      <c r="D44" s="118"/>
      <c r="E44" s="119"/>
      <c r="G44" s="5"/>
      <c r="H44" s="5"/>
      <c r="I44" s="5"/>
      <c r="J44" s="5"/>
      <c r="K44" s="5"/>
    </row>
    <row r="45" spans="2:11" ht="24.75" thickBot="1" x14ac:dyDescent="0.3">
      <c r="B45" s="46" t="s">
        <v>50</v>
      </c>
      <c r="C45" s="40" t="s">
        <v>51</v>
      </c>
      <c r="D45" s="40" t="s">
        <v>52</v>
      </c>
      <c r="E45" s="40" t="s">
        <v>53</v>
      </c>
      <c r="F45" s="5"/>
      <c r="G45" s="5"/>
      <c r="H45" s="5"/>
      <c r="I45" s="5"/>
      <c r="J45" s="5"/>
    </row>
    <row r="46" spans="2:11" ht="72.75" thickBot="1" x14ac:dyDescent="0.3">
      <c r="B46" s="48">
        <v>42401</v>
      </c>
      <c r="C46" s="40">
        <v>0.01</v>
      </c>
      <c r="D46" s="49" t="s">
        <v>654</v>
      </c>
      <c r="E46" s="40"/>
      <c r="F46" s="5"/>
      <c r="G46" s="5"/>
      <c r="H46" s="5"/>
      <c r="I46" s="5"/>
      <c r="J46" s="5"/>
    </row>
    <row r="47" spans="2:11" ht="15.75" thickBot="1" x14ac:dyDescent="0.3">
      <c r="B47" s="3"/>
      <c r="C47" s="93"/>
      <c r="D47" s="5"/>
      <c r="E47" s="5"/>
      <c r="F47" s="5"/>
      <c r="G47" s="5"/>
      <c r="H47" s="5"/>
      <c r="I47" s="5"/>
      <c r="J47" s="5"/>
      <c r="K47" s="5"/>
    </row>
    <row r="48" spans="2:11" ht="15.75" thickBot="1" x14ac:dyDescent="0.3">
      <c r="B48" s="127" t="s">
        <v>55</v>
      </c>
      <c r="C48" s="94"/>
      <c r="D48" s="5"/>
      <c r="E48" s="5"/>
      <c r="F48" s="5"/>
      <c r="G48" s="5"/>
      <c r="H48" s="5"/>
      <c r="I48" s="5"/>
      <c r="J48" s="5"/>
      <c r="K48" s="5"/>
    </row>
    <row r="49" spans="2:11" x14ac:dyDescent="0.25">
      <c r="B49" s="1159"/>
      <c r="C49" s="1160"/>
      <c r="D49" s="1160"/>
      <c r="E49" s="1161"/>
      <c r="F49" s="5"/>
      <c r="G49" s="5"/>
      <c r="H49" s="5"/>
      <c r="I49" s="5"/>
      <c r="J49" s="5"/>
      <c r="K49" s="5"/>
    </row>
    <row r="50" spans="2:11" ht="15.75" thickBot="1" x14ac:dyDescent="0.3">
      <c r="B50" s="1162"/>
      <c r="C50" s="1163"/>
      <c r="D50" s="1163"/>
      <c r="E50" s="1164"/>
      <c r="F50" s="5"/>
      <c r="G50" s="5"/>
      <c r="H50" s="5"/>
      <c r="I50" s="5"/>
      <c r="J50" s="5"/>
      <c r="K50" s="5"/>
    </row>
    <row r="51" spans="2:11" ht="15.75" thickBot="1" x14ac:dyDescent="0.3">
      <c r="B51" s="5"/>
      <c r="D51" s="5"/>
      <c r="E51" s="5"/>
      <c r="F51" s="5"/>
      <c r="G51" s="5"/>
      <c r="H51" s="5"/>
      <c r="I51" s="5"/>
      <c r="J51" s="5"/>
      <c r="K51" s="5"/>
    </row>
    <row r="52" spans="2:11" ht="24.75" thickBot="1" x14ac:dyDescent="0.3">
      <c r="B52" s="50" t="s">
        <v>56</v>
      </c>
      <c r="C52" s="95"/>
      <c r="D52" s="5"/>
      <c r="E52" s="5"/>
      <c r="F52" s="5"/>
      <c r="G52" s="5"/>
      <c r="H52" s="5"/>
      <c r="I52" s="5"/>
      <c r="J52" s="5"/>
      <c r="K52" s="5"/>
    </row>
    <row r="53" spans="2:11" ht="15.75" thickBot="1" x14ac:dyDescent="0.3">
      <c r="B53" s="1"/>
      <c r="C53" s="74"/>
      <c r="D53" s="5"/>
      <c r="E53" s="5"/>
      <c r="F53" s="5"/>
      <c r="G53" s="5"/>
      <c r="H53" s="5"/>
      <c r="I53" s="5"/>
      <c r="J53" s="5"/>
      <c r="K53" s="5"/>
    </row>
    <row r="54" spans="2:11" ht="84.75" thickBot="1" x14ac:dyDescent="0.3">
      <c r="B54" s="51" t="s">
        <v>57</v>
      </c>
      <c r="C54" s="96"/>
      <c r="D54" s="42" t="s">
        <v>635</v>
      </c>
      <c r="E54" s="5"/>
      <c r="F54" s="5"/>
      <c r="G54" s="5"/>
      <c r="H54" s="5"/>
      <c r="I54" s="5"/>
      <c r="J54" s="5"/>
      <c r="K54" s="5"/>
    </row>
    <row r="55" spans="2:11" x14ac:dyDescent="0.25">
      <c r="B55" s="1045" t="s">
        <v>59</v>
      </c>
      <c r="C55" s="92"/>
      <c r="D55" s="52" t="s">
        <v>60</v>
      </c>
      <c r="E55" s="5"/>
      <c r="F55" s="5"/>
      <c r="G55" s="5"/>
      <c r="H55" s="5"/>
      <c r="I55" s="5"/>
      <c r="J55" s="5"/>
      <c r="K55" s="5"/>
    </row>
    <row r="56" spans="2:11" ht="84" x14ac:dyDescent="0.25">
      <c r="B56" s="1046"/>
      <c r="C56" s="92"/>
      <c r="D56" s="45" t="s">
        <v>636</v>
      </c>
      <c r="E56" s="5"/>
      <c r="F56" s="5"/>
      <c r="G56" s="5"/>
      <c r="H56" s="5"/>
      <c r="I56" s="5"/>
      <c r="J56" s="5"/>
      <c r="K56" s="5"/>
    </row>
    <row r="57" spans="2:11" x14ac:dyDescent="0.25">
      <c r="B57" s="1046"/>
      <c r="C57" s="92"/>
      <c r="D57" s="52" t="s">
        <v>134</v>
      </c>
      <c r="E57" s="5"/>
      <c r="F57" s="5"/>
      <c r="G57" s="5"/>
      <c r="H57" s="5"/>
      <c r="I57" s="5"/>
      <c r="J57" s="5"/>
      <c r="K57" s="5"/>
    </row>
    <row r="58" spans="2:11" x14ac:dyDescent="0.25">
      <c r="B58" s="1046"/>
      <c r="C58" s="92"/>
      <c r="D58" s="45" t="s">
        <v>64</v>
      </c>
      <c r="E58" s="5"/>
      <c r="F58" s="5"/>
      <c r="G58" s="5"/>
      <c r="H58" s="5"/>
      <c r="I58" s="5"/>
      <c r="J58" s="5"/>
      <c r="K58" s="5"/>
    </row>
    <row r="59" spans="2:11" ht="36" x14ac:dyDescent="0.25">
      <c r="B59" s="1046"/>
      <c r="C59" s="92"/>
      <c r="D59" s="45" t="s">
        <v>637</v>
      </c>
      <c r="E59" s="5"/>
      <c r="F59" s="5"/>
      <c r="G59" s="5"/>
      <c r="H59" s="5"/>
      <c r="I59" s="5"/>
      <c r="J59" s="5"/>
      <c r="K59" s="5"/>
    </row>
    <row r="60" spans="2:11" ht="24" x14ac:dyDescent="0.25">
      <c r="B60" s="1046"/>
      <c r="C60" s="92"/>
      <c r="D60" s="45" t="s">
        <v>638</v>
      </c>
      <c r="E60" s="5"/>
      <c r="F60" s="5"/>
      <c r="G60" s="5"/>
      <c r="H60" s="5"/>
      <c r="I60" s="5"/>
      <c r="J60" s="5"/>
      <c r="K60" s="5"/>
    </row>
    <row r="61" spans="2:11" x14ac:dyDescent="0.25">
      <c r="B61" s="1046"/>
      <c r="C61" s="92"/>
      <c r="D61" s="45" t="s">
        <v>639</v>
      </c>
      <c r="E61" s="5"/>
      <c r="F61" s="5"/>
      <c r="G61" s="5"/>
      <c r="H61" s="5"/>
      <c r="I61" s="5"/>
      <c r="J61" s="5"/>
      <c r="K61" s="5"/>
    </row>
    <row r="62" spans="2:11" x14ac:dyDescent="0.25">
      <c r="B62" s="1046"/>
      <c r="C62" s="92"/>
      <c r="D62" s="52" t="s">
        <v>141</v>
      </c>
      <c r="E62" s="5"/>
      <c r="F62" s="5"/>
      <c r="G62" s="5"/>
      <c r="H62" s="5"/>
      <c r="I62" s="5"/>
      <c r="J62" s="5"/>
      <c r="K62" s="5"/>
    </row>
    <row r="63" spans="2:11" ht="60.75" thickBot="1" x14ac:dyDescent="0.3">
      <c r="B63" s="1047"/>
      <c r="C63" s="2"/>
      <c r="D63" s="40" t="s">
        <v>640</v>
      </c>
      <c r="E63" s="5"/>
      <c r="F63" s="5"/>
      <c r="G63" s="5"/>
      <c r="H63" s="5"/>
      <c r="I63" s="5"/>
      <c r="J63" s="5"/>
      <c r="K63" s="5"/>
    </row>
    <row r="64" spans="2:11" ht="24.75" thickBot="1" x14ac:dyDescent="0.3">
      <c r="B64" s="46" t="s">
        <v>72</v>
      </c>
      <c r="C64" s="2"/>
      <c r="D64" s="40"/>
      <c r="E64" s="5"/>
      <c r="F64" s="5"/>
      <c r="G64" s="5"/>
      <c r="H64" s="5"/>
      <c r="I64" s="5"/>
      <c r="J64" s="5"/>
      <c r="K64" s="5"/>
    </row>
    <row r="65" spans="2:11" ht="276" x14ac:dyDescent="0.25">
      <c r="B65" s="1045" t="s">
        <v>73</v>
      </c>
      <c r="C65" s="92"/>
      <c r="D65" s="45" t="s">
        <v>641</v>
      </c>
      <c r="E65" s="5"/>
      <c r="F65" s="5"/>
      <c r="G65" s="5"/>
      <c r="H65" s="5"/>
      <c r="I65" s="5"/>
      <c r="J65" s="5"/>
      <c r="K65" s="5"/>
    </row>
    <row r="66" spans="2:11" ht="132" x14ac:dyDescent="0.25">
      <c r="B66" s="1046"/>
      <c r="C66" s="92"/>
      <c r="D66" s="45" t="s">
        <v>642</v>
      </c>
      <c r="E66" s="5"/>
      <c r="F66" s="5"/>
      <c r="G66" s="5"/>
      <c r="H66" s="5"/>
      <c r="I66" s="5"/>
      <c r="J66" s="5"/>
      <c r="K66" s="5"/>
    </row>
    <row r="67" spans="2:11" ht="72.75" thickBot="1" x14ac:dyDescent="0.3">
      <c r="B67" s="1047"/>
      <c r="C67" s="2"/>
      <c r="D67" s="40" t="s">
        <v>643</v>
      </c>
      <c r="E67" s="5"/>
      <c r="F67" s="5"/>
      <c r="G67" s="5"/>
      <c r="H67" s="5"/>
      <c r="I67" s="5"/>
      <c r="J67" s="5"/>
      <c r="K67" s="5"/>
    </row>
    <row r="68" spans="2:11" x14ac:dyDescent="0.25">
      <c r="B68" s="1045" t="s">
        <v>90</v>
      </c>
      <c r="C68" s="92"/>
      <c r="D68" s="45"/>
      <c r="E68" s="5"/>
      <c r="F68" s="5"/>
      <c r="G68" s="5"/>
      <c r="H68" s="5"/>
      <c r="I68" s="5"/>
      <c r="J68" s="5"/>
      <c r="K68" s="5"/>
    </row>
    <row r="69" spans="2:11" x14ac:dyDescent="0.25">
      <c r="B69" s="1046"/>
      <c r="C69" s="92"/>
      <c r="D69" s="16"/>
      <c r="E69" s="5"/>
      <c r="F69" s="5"/>
      <c r="G69" s="5"/>
      <c r="H69" s="5"/>
      <c r="I69" s="5"/>
      <c r="J69" s="5"/>
      <c r="K69" s="5"/>
    </row>
    <row r="70" spans="2:11" x14ac:dyDescent="0.25">
      <c r="B70" s="1046"/>
      <c r="C70" s="92"/>
      <c r="D70" s="45" t="s">
        <v>91</v>
      </c>
      <c r="E70" s="5"/>
      <c r="F70" s="5"/>
      <c r="G70" s="5"/>
      <c r="H70" s="5"/>
      <c r="I70" s="5"/>
      <c r="J70" s="5"/>
      <c r="K70" s="5"/>
    </row>
    <row r="71" spans="2:11" ht="61.5" x14ac:dyDescent="0.25">
      <c r="B71" s="1046"/>
      <c r="C71" s="92"/>
      <c r="D71" s="45" t="s">
        <v>644</v>
      </c>
      <c r="E71" s="5"/>
      <c r="F71" s="5"/>
      <c r="G71" s="5"/>
      <c r="H71" s="5"/>
      <c r="I71" s="5"/>
      <c r="J71" s="5"/>
      <c r="K71" s="5"/>
    </row>
    <row r="72" spans="2:11" ht="49.5" x14ac:dyDescent="0.25">
      <c r="B72" s="1046"/>
      <c r="C72" s="92"/>
      <c r="D72" s="45" t="s">
        <v>645</v>
      </c>
      <c r="E72" s="5"/>
      <c r="F72" s="5"/>
      <c r="G72" s="5"/>
      <c r="H72" s="5"/>
      <c r="I72" s="5"/>
      <c r="J72" s="5"/>
      <c r="K72" s="5"/>
    </row>
    <row r="73" spans="2:11" ht="49.5" x14ac:dyDescent="0.25">
      <c r="B73" s="1046"/>
      <c r="C73" s="92"/>
      <c r="D73" s="45" t="s">
        <v>646</v>
      </c>
      <c r="E73" s="5"/>
      <c r="F73" s="5"/>
      <c r="G73" s="5"/>
      <c r="H73" s="5"/>
      <c r="I73" s="5"/>
      <c r="J73" s="5"/>
      <c r="K73" s="5"/>
    </row>
    <row r="74" spans="2:11" ht="72.75" thickBot="1" x14ac:dyDescent="0.3">
      <c r="B74" s="1047"/>
      <c r="C74" s="2"/>
      <c r="D74" s="40" t="s">
        <v>647</v>
      </c>
      <c r="E74" s="5"/>
      <c r="F74" s="5"/>
      <c r="G74" s="5"/>
      <c r="H74" s="5"/>
      <c r="I74" s="5"/>
      <c r="J74" s="5"/>
      <c r="K74" s="5"/>
    </row>
    <row r="75" spans="2:11" x14ac:dyDescent="0.25">
      <c r="B75" s="5"/>
      <c r="D75" s="5"/>
      <c r="E75" s="5"/>
      <c r="F75" s="5"/>
      <c r="G75" s="5"/>
      <c r="H75" s="5"/>
      <c r="I75" s="5"/>
      <c r="J75" s="5"/>
      <c r="K75" s="5"/>
    </row>
    <row r="76" spans="2:11" x14ac:dyDescent="0.25">
      <c r="B76" s="5"/>
      <c r="D76" s="5"/>
      <c r="E76" s="5"/>
      <c r="F76" s="5"/>
      <c r="G76" s="5"/>
      <c r="H76" s="5"/>
      <c r="I76" s="5"/>
      <c r="J76" s="5"/>
      <c r="K76" s="5"/>
    </row>
    <row r="77" spans="2:11" x14ac:dyDescent="0.25">
      <c r="B77" s="5"/>
      <c r="D77" s="5"/>
      <c r="E77" s="5"/>
      <c r="F77" s="5"/>
      <c r="G77" s="5"/>
      <c r="H77" s="5"/>
      <c r="I77" s="5"/>
      <c r="J77" s="5"/>
      <c r="K77" s="5"/>
    </row>
    <row r="78" spans="2:11" x14ac:dyDescent="0.25">
      <c r="B78" s="5"/>
      <c r="D78" s="5"/>
      <c r="E78" s="5"/>
      <c r="F78" s="5"/>
      <c r="G78" s="5"/>
      <c r="H78" s="5"/>
      <c r="I78" s="5"/>
      <c r="J78" s="5"/>
      <c r="K78" s="5"/>
    </row>
    <row r="79" spans="2:11" x14ac:dyDescent="0.25">
      <c r="B79" s="5"/>
      <c r="D79" s="5"/>
      <c r="E79" s="5"/>
      <c r="F79" s="5"/>
      <c r="G79" s="5"/>
      <c r="H79" s="5"/>
      <c r="I79" s="5"/>
      <c r="J79" s="5"/>
      <c r="K79" s="5"/>
    </row>
    <row r="80" spans="2:11" x14ac:dyDescent="0.25">
      <c r="B80" s="5"/>
      <c r="D80" s="5"/>
      <c r="E80" s="5"/>
      <c r="F80" s="5"/>
      <c r="G80" s="5"/>
      <c r="H80" s="5"/>
      <c r="I80" s="5"/>
      <c r="J80" s="5"/>
      <c r="K80" s="5"/>
    </row>
    <row r="81" spans="2:11" x14ac:dyDescent="0.25">
      <c r="B81" s="5"/>
      <c r="D81" s="5"/>
      <c r="E81" s="5"/>
      <c r="F81" s="5"/>
      <c r="G81" s="5"/>
      <c r="H81" s="5"/>
      <c r="I81" s="5"/>
      <c r="J81" s="5"/>
      <c r="K81" s="5"/>
    </row>
    <row r="82" spans="2:11" x14ac:dyDescent="0.25">
      <c r="B82" s="5"/>
      <c r="D82" s="5"/>
      <c r="E82" s="5"/>
      <c r="F82" s="5"/>
      <c r="G82" s="5"/>
      <c r="H82" s="5"/>
      <c r="I82" s="5"/>
      <c r="J82" s="5"/>
      <c r="K82" s="5"/>
    </row>
    <row r="83" spans="2:11" x14ac:dyDescent="0.25">
      <c r="B83" s="5"/>
      <c r="D83" s="5"/>
      <c r="E83" s="5"/>
      <c r="F83" s="5"/>
      <c r="G83" s="5"/>
      <c r="H83" s="5"/>
      <c r="I83" s="5"/>
      <c r="J83" s="5"/>
      <c r="K83" s="5"/>
    </row>
    <row r="84" spans="2:11" x14ac:dyDescent="0.25">
      <c r="B84" s="5"/>
      <c r="D84" s="5"/>
      <c r="E84" s="5"/>
      <c r="F84" s="5"/>
      <c r="G84" s="5"/>
      <c r="H84" s="5"/>
      <c r="I84" s="5"/>
      <c r="J84" s="5"/>
      <c r="K84" s="5"/>
    </row>
    <row r="85" spans="2:11" x14ac:dyDescent="0.25">
      <c r="B85" s="5"/>
      <c r="D85" s="5"/>
      <c r="E85" s="5"/>
      <c r="F85" s="5"/>
      <c r="G85" s="5"/>
      <c r="H85" s="5"/>
      <c r="I85" s="5"/>
      <c r="J85" s="5"/>
      <c r="K85" s="5"/>
    </row>
    <row r="86" spans="2:11" x14ac:dyDescent="0.25">
      <c r="B86" s="5"/>
      <c r="D86" s="5"/>
      <c r="E86" s="5"/>
      <c r="F86" s="5"/>
      <c r="G86" s="5"/>
      <c r="H86" s="5"/>
      <c r="I86" s="5"/>
      <c r="J86" s="5"/>
      <c r="K86" s="5"/>
    </row>
    <row r="87" spans="2:11" x14ac:dyDescent="0.25">
      <c r="B87" s="5"/>
      <c r="D87" s="5"/>
      <c r="E87" s="5"/>
      <c r="F87" s="5"/>
      <c r="G87" s="5"/>
      <c r="H87" s="5"/>
      <c r="I87" s="5"/>
      <c r="J87" s="5"/>
      <c r="K87" s="5"/>
    </row>
    <row r="88" spans="2:11" x14ac:dyDescent="0.25">
      <c r="B88" s="5"/>
      <c r="D88" s="5"/>
      <c r="E88" s="5"/>
      <c r="F88" s="5"/>
      <c r="G88" s="5"/>
      <c r="H88" s="5"/>
      <c r="I88" s="5"/>
      <c r="J88" s="5"/>
      <c r="K88" s="5"/>
    </row>
    <row r="89" spans="2:11" x14ac:dyDescent="0.25">
      <c r="B89" s="5"/>
      <c r="D89" s="5"/>
      <c r="E89" s="5"/>
      <c r="F89" s="5"/>
      <c r="G89" s="5"/>
      <c r="H89" s="5"/>
      <c r="I89" s="5"/>
      <c r="J89" s="5"/>
      <c r="K89" s="5"/>
    </row>
    <row r="90" spans="2:11" x14ac:dyDescent="0.25">
      <c r="B90" s="5"/>
      <c r="D90" s="5"/>
      <c r="E90" s="5"/>
      <c r="F90" s="5"/>
      <c r="G90" s="5"/>
      <c r="H90" s="5"/>
      <c r="I90" s="5"/>
      <c r="J90" s="5"/>
      <c r="K90" s="5"/>
    </row>
    <row r="91" spans="2:11" x14ac:dyDescent="0.25">
      <c r="B91" s="5"/>
      <c r="D91" s="5"/>
      <c r="E91" s="5"/>
      <c r="F91" s="5"/>
      <c r="G91" s="5"/>
      <c r="H91" s="5"/>
      <c r="I91" s="5"/>
      <c r="J91" s="5"/>
      <c r="K91" s="5"/>
    </row>
    <row r="92" spans="2:11" x14ac:dyDescent="0.25">
      <c r="B92" s="5"/>
      <c r="D92" s="5"/>
      <c r="E92" s="5"/>
      <c r="F92" s="5"/>
      <c r="G92" s="5"/>
      <c r="H92" s="5"/>
      <c r="I92" s="5"/>
      <c r="J92" s="5"/>
      <c r="K92" s="5"/>
    </row>
    <row r="93" spans="2:11" x14ac:dyDescent="0.25">
      <c r="B93" s="5"/>
      <c r="D93" s="5"/>
      <c r="E93" s="5"/>
      <c r="F93" s="5"/>
      <c r="G93" s="5"/>
      <c r="H93" s="5"/>
      <c r="I93" s="5"/>
      <c r="J93" s="5"/>
      <c r="K93" s="5"/>
    </row>
    <row r="94" spans="2:11" x14ac:dyDescent="0.25">
      <c r="B94" s="5"/>
      <c r="D94" s="5"/>
      <c r="E94" s="5"/>
      <c r="F94" s="5"/>
      <c r="G94" s="5"/>
      <c r="H94" s="5"/>
      <c r="I94" s="5"/>
      <c r="J94" s="5"/>
      <c r="K94" s="5"/>
    </row>
    <row r="95" spans="2:11" x14ac:dyDescent="0.25">
      <c r="B95" s="5"/>
      <c r="D95" s="5"/>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23">
    <mergeCell ref="B10:D10"/>
    <mergeCell ref="F10:S10"/>
    <mergeCell ref="F11:S11"/>
    <mergeCell ref="E12:R12"/>
    <mergeCell ref="E13:R13"/>
    <mergeCell ref="B55:B63"/>
    <mergeCell ref="B65:B67"/>
    <mergeCell ref="B68:B74"/>
    <mergeCell ref="B15:B22"/>
    <mergeCell ref="D15:I15"/>
    <mergeCell ref="D18:I18"/>
    <mergeCell ref="D23:I23"/>
    <mergeCell ref="D24:I24"/>
    <mergeCell ref="B26:E26"/>
    <mergeCell ref="B27:B33"/>
    <mergeCell ref="B35:E35"/>
    <mergeCell ref="B36:B42"/>
    <mergeCell ref="B49:E50"/>
    <mergeCell ref="A1:P1"/>
    <mergeCell ref="A2:P2"/>
    <mergeCell ref="A3:P3"/>
    <mergeCell ref="A4:D4"/>
    <mergeCell ref="A5:P5"/>
  </mergeCells>
  <conditionalFormatting sqref="F10">
    <cfRule type="notContainsBlanks" dxfId="61" priority="6">
      <formula>LEN(TRIM(F10))&gt;0</formula>
    </cfRule>
  </conditionalFormatting>
  <conditionalFormatting sqref="F11:S11">
    <cfRule type="expression" dxfId="60" priority="4">
      <formula>E11="NO SE REPORTA"</formula>
    </cfRule>
    <cfRule type="expression" dxfId="59" priority="5">
      <formula>E10="NO APLICA"</formula>
    </cfRule>
  </conditionalFormatting>
  <conditionalFormatting sqref="E12:R12">
    <cfRule type="expression" dxfId="58"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formula1>0</formula1>
    </dataValidation>
    <dataValidation allowBlank="1" showInputMessage="1" showErrorMessage="1" sqref="I20:I21"/>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31" r:id="rId1"/>
  </hyperlinks>
  <pageMargins left="0.25" right="0.25" top="0.75" bottom="0.75" header="0.3" footer="0.3"/>
  <pageSetup paperSize="178" orientation="landscape" horizontalDpi="1200" verticalDpi="120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0"/>
  <sheetViews>
    <sheetView showGridLines="0" zoomScale="98" zoomScaleNormal="98" workbookViewId="0">
      <selection activeCell="L19" sqref="L19"/>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25" customWidth="1"/>
    <col min="6" max="6" width="26.85546875" customWidth="1"/>
    <col min="7" max="7" width="25" customWidth="1"/>
    <col min="8" max="8" width="15.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655</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27"/>
      <c r="C7" s="75"/>
      <c r="D7" s="5"/>
      <c r="E7" s="17"/>
      <c r="F7" s="5" t="s">
        <v>129</v>
      </c>
      <c r="G7" s="5"/>
      <c r="H7" s="5"/>
      <c r="I7" s="5"/>
      <c r="J7" s="5"/>
      <c r="K7" s="5"/>
    </row>
    <row r="8" spans="1:21" ht="15.75" thickBot="1" x14ac:dyDescent="0.3">
      <c r="B8" s="168" t="s">
        <v>1192</v>
      </c>
      <c r="C8" s="209">
        <v>2022</v>
      </c>
      <c r="D8" s="214">
        <f>IF(E10="NO APLICA","NO APLICA",IF(E11="NO SE REPORTA","SIN INFORMACION",+G20))</f>
        <v>1</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1926</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 customHeight="1" thickTop="1" x14ac:dyDescent="0.25">
      <c r="B15" s="1090" t="s">
        <v>2</v>
      </c>
      <c r="C15" s="87"/>
      <c r="D15" s="1036" t="s">
        <v>336</v>
      </c>
      <c r="E15" s="1037"/>
      <c r="F15" s="1037"/>
      <c r="G15" s="1037"/>
      <c r="H15" s="1037"/>
      <c r="I15" s="1037"/>
      <c r="J15" s="1037"/>
      <c r="K15" s="1038"/>
    </row>
    <row r="16" spans="1:21" ht="15.75" thickBot="1" x14ac:dyDescent="0.3">
      <c r="B16" s="1064"/>
      <c r="C16" s="90"/>
      <c r="D16" s="1165" t="s">
        <v>655</v>
      </c>
      <c r="E16" s="1166"/>
      <c r="F16" s="1166"/>
      <c r="G16" s="1166"/>
      <c r="H16" s="1166"/>
      <c r="I16" s="1166"/>
      <c r="J16" s="1166"/>
      <c r="K16" s="1167"/>
    </row>
    <row r="17" spans="2:12" ht="15.75" thickBot="1" x14ac:dyDescent="0.3">
      <c r="B17" s="1064"/>
      <c r="C17" s="88" t="s">
        <v>19</v>
      </c>
      <c r="D17" s="38" t="s">
        <v>253</v>
      </c>
      <c r="E17" s="38" t="s">
        <v>20</v>
      </c>
      <c r="F17" s="38" t="s">
        <v>21</v>
      </c>
      <c r="G17" s="38" t="s">
        <v>22</v>
      </c>
      <c r="H17" s="38" t="s">
        <v>23</v>
      </c>
      <c r="I17" s="38" t="s">
        <v>254</v>
      </c>
      <c r="K17" s="21"/>
    </row>
    <row r="18" spans="2:12" ht="36.75" thickBot="1" x14ac:dyDescent="0.3">
      <c r="B18" s="1064"/>
      <c r="C18" s="89" t="s">
        <v>152</v>
      </c>
      <c r="D18" s="40" t="s">
        <v>690</v>
      </c>
      <c r="E18" s="6">
        <v>2</v>
      </c>
      <c r="F18" s="6">
        <v>2</v>
      </c>
      <c r="G18" s="6">
        <v>2</v>
      </c>
      <c r="H18" s="6"/>
      <c r="I18" s="41">
        <f>SUM(E18:H18)</f>
        <v>6</v>
      </c>
      <c r="K18" s="21"/>
    </row>
    <row r="19" spans="2:12" ht="36.75" thickBot="1" x14ac:dyDescent="0.3">
      <c r="B19" s="1064"/>
      <c r="C19" s="89" t="s">
        <v>154</v>
      </c>
      <c r="D19" s="40" t="s">
        <v>1185</v>
      </c>
      <c r="E19" s="6">
        <v>2</v>
      </c>
      <c r="F19" s="6">
        <v>2</v>
      </c>
      <c r="G19" s="6">
        <v>2</v>
      </c>
      <c r="H19" s="6"/>
      <c r="I19" s="41">
        <f>SUM(E19:H19)</f>
        <v>6</v>
      </c>
      <c r="K19" s="21"/>
    </row>
    <row r="20" spans="2:12" ht="48.75" thickBot="1" x14ac:dyDescent="0.3">
      <c r="B20" s="1064"/>
      <c r="C20" s="89" t="s">
        <v>156</v>
      </c>
      <c r="D20" s="40" t="s">
        <v>1184</v>
      </c>
      <c r="E20" s="135">
        <f>IFERROR(E19/E18,0)</f>
        <v>1</v>
      </c>
      <c r="F20" s="135">
        <f>IFERROR(F19/F18,0)</f>
        <v>1</v>
      </c>
      <c r="G20" s="135">
        <f>IFERROR(G19/G18,0)</f>
        <v>1</v>
      </c>
      <c r="H20" s="135">
        <f>IFERROR(H19/H18,0)</f>
        <v>0</v>
      </c>
      <c r="I20" s="135">
        <f>IFERROR(I19/I18,0)</f>
        <v>1</v>
      </c>
      <c r="K20" s="21"/>
    </row>
    <row r="21" spans="2:12" x14ac:dyDescent="0.25">
      <c r="B21" s="216"/>
      <c r="C21" s="90"/>
      <c r="D21" s="1027"/>
      <c r="E21" s="1028"/>
      <c r="F21" s="1028"/>
      <c r="G21" s="1028"/>
      <c r="H21" s="1028"/>
      <c r="I21" s="1028"/>
      <c r="J21" s="1028"/>
      <c r="K21" s="1029"/>
    </row>
    <row r="22" spans="2:12" x14ac:dyDescent="0.25">
      <c r="B22" s="216"/>
      <c r="C22" s="90"/>
      <c r="D22" s="1165" t="s">
        <v>691</v>
      </c>
      <c r="E22" s="1166"/>
      <c r="F22" s="1166"/>
      <c r="G22" s="1166"/>
      <c r="H22" s="1166"/>
      <c r="I22" s="1166"/>
      <c r="J22" s="1166"/>
      <c r="K22" s="1167"/>
    </row>
    <row r="23" spans="2:12" ht="24" customHeight="1" thickBot="1" x14ac:dyDescent="0.3">
      <c r="B23" s="216"/>
      <c r="C23" s="90"/>
      <c r="D23" s="1174" t="s">
        <v>686</v>
      </c>
      <c r="E23" s="1175"/>
      <c r="F23" s="1175"/>
      <c r="G23" s="1175"/>
      <c r="H23" s="1175"/>
      <c r="I23" s="1175"/>
      <c r="J23" s="1175"/>
      <c r="K23" s="1176"/>
    </row>
    <row r="24" spans="2:12" ht="15.75" thickBot="1" x14ac:dyDescent="0.3">
      <c r="B24" s="216"/>
      <c r="C24" s="1038" t="s">
        <v>19</v>
      </c>
      <c r="D24" s="1045" t="s">
        <v>270</v>
      </c>
      <c r="E24" s="1045" t="s">
        <v>619</v>
      </c>
      <c r="F24" s="1149" t="s">
        <v>692</v>
      </c>
      <c r="G24" s="1177" t="s">
        <v>693</v>
      </c>
      <c r="H24" s="1178"/>
      <c r="I24" s="1178"/>
      <c r="J24" s="1179"/>
      <c r="K24" s="115"/>
    </row>
    <row r="25" spans="2:12" x14ac:dyDescent="0.25">
      <c r="B25" s="216"/>
      <c r="C25" s="1029"/>
      <c r="D25" s="1046"/>
      <c r="E25" s="1046"/>
      <c r="F25" s="1150"/>
      <c r="G25" s="68" t="s">
        <v>473</v>
      </c>
      <c r="H25" s="1149" t="s">
        <v>695</v>
      </c>
      <c r="I25" s="1149" t="s">
        <v>274</v>
      </c>
      <c r="J25" s="1149" t="s">
        <v>275</v>
      </c>
      <c r="K25" s="11"/>
    </row>
    <row r="26" spans="2:12" ht="15.75" thickBot="1" x14ac:dyDescent="0.3">
      <c r="B26" s="216"/>
      <c r="C26" s="1053"/>
      <c r="D26" s="1047"/>
      <c r="E26" s="1047"/>
      <c r="F26" s="1151"/>
      <c r="G26" s="64" t="s">
        <v>694</v>
      </c>
      <c r="H26" s="1151"/>
      <c r="I26" s="1151"/>
      <c r="J26" s="1151"/>
      <c r="K26" s="11"/>
    </row>
    <row r="27" spans="2:12" ht="48.75" thickBot="1" x14ac:dyDescent="0.3">
      <c r="B27" s="216"/>
      <c r="C27" s="30">
        <v>1</v>
      </c>
      <c r="D27" s="338" t="s">
        <v>1811</v>
      </c>
      <c r="E27" s="338" t="s">
        <v>1850</v>
      </c>
      <c r="F27" s="338" t="s">
        <v>2058</v>
      </c>
      <c r="G27" s="205">
        <v>50000000</v>
      </c>
      <c r="H27" s="205">
        <v>50000000</v>
      </c>
      <c r="I27" s="205">
        <v>0</v>
      </c>
      <c r="J27" s="205">
        <v>0</v>
      </c>
      <c r="K27" s="11"/>
      <c r="L27" s="213"/>
    </row>
    <row r="28" spans="2:12" ht="124.35" customHeight="1" thickBot="1" x14ac:dyDescent="0.3">
      <c r="B28" s="216"/>
      <c r="C28" s="30">
        <v>2</v>
      </c>
      <c r="D28" s="338" t="s">
        <v>1811</v>
      </c>
      <c r="E28" s="338" t="s">
        <v>2059</v>
      </c>
      <c r="F28" s="338" t="s">
        <v>2056</v>
      </c>
      <c r="G28" s="205"/>
      <c r="H28" s="205"/>
      <c r="I28" s="205"/>
      <c r="J28" s="205"/>
      <c r="K28" s="11"/>
      <c r="L28" s="213"/>
    </row>
    <row r="29" spans="2:12" ht="204.75" thickBot="1" x14ac:dyDescent="0.3">
      <c r="B29" s="216"/>
      <c r="C29" s="30">
        <v>3</v>
      </c>
      <c r="D29" s="338" t="s">
        <v>1811</v>
      </c>
      <c r="E29" s="338" t="s">
        <v>696</v>
      </c>
      <c r="F29" s="338" t="s">
        <v>2060</v>
      </c>
      <c r="G29" s="205"/>
      <c r="H29" s="205"/>
      <c r="I29" s="205"/>
      <c r="J29" s="205"/>
      <c r="K29" s="11"/>
      <c r="L29" s="213"/>
    </row>
    <row r="30" spans="2:12" ht="15.75" thickBot="1" x14ac:dyDescent="0.3">
      <c r="B30" s="216"/>
      <c r="C30" s="30">
        <v>4</v>
      </c>
      <c r="D30" s="338"/>
      <c r="E30" s="338"/>
      <c r="F30" s="338"/>
      <c r="G30" s="205"/>
      <c r="H30" s="205"/>
      <c r="I30" s="205"/>
      <c r="J30" s="205"/>
      <c r="K30" s="11"/>
      <c r="L30" s="213"/>
    </row>
    <row r="31" spans="2:12" ht="15.75" thickBot="1" x14ac:dyDescent="0.3">
      <c r="B31" s="216"/>
      <c r="C31" s="30">
        <v>5</v>
      </c>
      <c r="D31" s="338"/>
      <c r="E31" s="338"/>
      <c r="F31" s="30"/>
      <c r="G31" s="205"/>
      <c r="H31" s="205"/>
      <c r="I31" s="205"/>
      <c r="J31" s="205"/>
      <c r="K31" s="11"/>
      <c r="L31" s="213"/>
    </row>
    <row r="32" spans="2:12" ht="15.75" thickBot="1" x14ac:dyDescent="0.3">
      <c r="B32" s="216"/>
      <c r="C32" s="30">
        <v>6</v>
      </c>
      <c r="D32" s="30"/>
      <c r="E32" s="338"/>
      <c r="F32" s="30"/>
      <c r="G32" s="205"/>
      <c r="H32" s="205"/>
      <c r="I32" s="205"/>
      <c r="J32" s="205"/>
      <c r="K32" s="11"/>
      <c r="L32" s="213"/>
    </row>
    <row r="33" spans="2:11" ht="15.75" thickBot="1" x14ac:dyDescent="0.3">
      <c r="B33" s="216"/>
      <c r="C33" s="39"/>
      <c r="D33" s="39" t="s">
        <v>151</v>
      </c>
      <c r="E33" s="39"/>
      <c r="F33" s="40"/>
      <c r="G33" s="133">
        <f>SUM(G27:G32)</f>
        <v>50000000</v>
      </c>
      <c r="H33" s="133">
        <f>SUM(H27:H32)</f>
        <v>50000000</v>
      </c>
      <c r="I33" s="133">
        <f>SUM(I27:I32)</f>
        <v>0</v>
      </c>
      <c r="J33" s="133">
        <f>SUM(J27:J32)</f>
        <v>0</v>
      </c>
      <c r="K33" s="12"/>
    </row>
    <row r="34" spans="2:11" x14ac:dyDescent="0.25">
      <c r="B34" s="216"/>
      <c r="C34" s="90"/>
      <c r="D34" s="1036" t="s">
        <v>630</v>
      </c>
      <c r="E34" s="1037"/>
      <c r="F34" s="1037"/>
      <c r="G34" s="1037"/>
      <c r="H34" s="1037"/>
      <c r="I34" s="1037"/>
      <c r="J34" s="1037"/>
      <c r="K34" s="1038"/>
    </row>
    <row r="35" spans="2:11" ht="24" customHeight="1" thickBot="1" x14ac:dyDescent="0.3">
      <c r="B35" s="216"/>
      <c r="C35" s="90"/>
      <c r="D35" s="1027" t="s">
        <v>697</v>
      </c>
      <c r="E35" s="1028"/>
      <c r="F35" s="1028"/>
      <c r="G35" s="1028"/>
      <c r="H35" s="1028"/>
      <c r="I35" s="1028"/>
      <c r="J35" s="1028"/>
      <c r="K35" s="1029"/>
    </row>
    <row r="36" spans="2:11" ht="15.75" thickBot="1" x14ac:dyDescent="0.3">
      <c r="B36" s="216"/>
      <c r="C36" s="1035" t="s">
        <v>19</v>
      </c>
      <c r="D36" s="1180" t="s">
        <v>698</v>
      </c>
      <c r="E36" s="1183" t="s">
        <v>699</v>
      </c>
      <c r="F36" s="1184"/>
      <c r="G36" s="69"/>
      <c r="H36" s="5"/>
      <c r="I36" s="5"/>
      <c r="K36" s="21"/>
    </row>
    <row r="37" spans="2:11" x14ac:dyDescent="0.25">
      <c r="B37" s="216"/>
      <c r="C37" s="1041"/>
      <c r="D37" s="1181"/>
      <c r="E37" s="1045" t="s">
        <v>700</v>
      </c>
      <c r="F37" s="45" t="s">
        <v>701</v>
      </c>
      <c r="G37" s="1045" t="s">
        <v>55</v>
      </c>
      <c r="H37" s="5"/>
      <c r="I37" s="5"/>
      <c r="K37" s="21"/>
    </row>
    <row r="38" spans="2:11" ht="15.75" thickBot="1" x14ac:dyDescent="0.3">
      <c r="B38" s="216"/>
      <c r="C38" s="1032"/>
      <c r="D38" s="1182"/>
      <c r="E38" s="1047"/>
      <c r="F38" s="40" t="s">
        <v>695</v>
      </c>
      <c r="G38" s="1047"/>
      <c r="H38" s="5"/>
      <c r="I38" s="5"/>
      <c r="K38" s="21"/>
    </row>
    <row r="39" spans="2:11" ht="48.75" thickBot="1" x14ac:dyDescent="0.3">
      <c r="B39" s="216"/>
      <c r="C39" s="340">
        <v>1</v>
      </c>
      <c r="D39" s="155">
        <v>1</v>
      </c>
      <c r="E39" s="139">
        <f>IFERROR(I27/H27,0)</f>
        <v>0</v>
      </c>
      <c r="F39" s="139">
        <f>IFERROR(J27/I27,0)</f>
        <v>0</v>
      </c>
      <c r="G39" s="338" t="s">
        <v>2057</v>
      </c>
      <c r="H39" s="5"/>
      <c r="I39" s="5"/>
      <c r="K39" s="21"/>
    </row>
    <row r="40" spans="2:11" ht="15.75" thickBot="1" x14ac:dyDescent="0.3">
      <c r="B40" s="216"/>
      <c r="C40" s="340">
        <v>2</v>
      </c>
      <c r="D40" s="155"/>
      <c r="E40" s="139">
        <f>IFERROR(I28/H28,0)</f>
        <v>0</v>
      </c>
      <c r="F40" s="139">
        <f t="shared" ref="F40:F45" si="0">IFERROR(J28/I28,0)</f>
        <v>0</v>
      </c>
      <c r="G40" s="338"/>
      <c r="H40" s="5"/>
      <c r="I40" s="5"/>
      <c r="K40" s="21"/>
    </row>
    <row r="41" spans="2:11" ht="15.75" thickBot="1" x14ac:dyDescent="0.3">
      <c r="B41" s="216"/>
      <c r="C41" s="340">
        <v>3</v>
      </c>
      <c r="D41" s="155"/>
      <c r="E41" s="139">
        <f>IFERROR(I29/H29,0)</f>
        <v>0</v>
      </c>
      <c r="F41" s="139">
        <f t="shared" si="0"/>
        <v>0</v>
      </c>
      <c r="G41" s="338"/>
      <c r="H41" s="5"/>
      <c r="I41" s="5"/>
      <c r="K41" s="21"/>
    </row>
    <row r="42" spans="2:11" ht="15.75" thickBot="1" x14ac:dyDescent="0.3">
      <c r="B42" s="216"/>
      <c r="C42" s="340">
        <v>4</v>
      </c>
      <c r="D42" s="155"/>
      <c r="E42" s="139">
        <f>IFERROR(I30/H30,0)</f>
        <v>0</v>
      </c>
      <c r="F42" s="139">
        <f t="shared" si="0"/>
        <v>0</v>
      </c>
      <c r="G42" s="338"/>
      <c r="H42" s="5"/>
      <c r="I42" s="5"/>
      <c r="K42" s="21"/>
    </row>
    <row r="43" spans="2:11" ht="15.75" thickBot="1" x14ac:dyDescent="0.3">
      <c r="B43" s="216"/>
      <c r="C43" s="340">
        <v>5</v>
      </c>
      <c r="D43" s="155"/>
      <c r="E43" s="139">
        <f>IFERROR(I31/H31,0)</f>
        <v>0</v>
      </c>
      <c r="F43" s="139">
        <f t="shared" si="0"/>
        <v>0</v>
      </c>
      <c r="G43" s="338"/>
      <c r="H43" s="5"/>
      <c r="I43" s="5"/>
      <c r="K43" s="21"/>
    </row>
    <row r="44" spans="2:11" ht="15.75" thickBot="1" x14ac:dyDescent="0.3">
      <c r="B44" s="216"/>
      <c r="C44" s="340">
        <v>6</v>
      </c>
      <c r="D44" s="155"/>
      <c r="E44" s="139">
        <f>IFERROR(I32/H32,0)</f>
        <v>0</v>
      </c>
      <c r="F44" s="139">
        <f t="shared" si="0"/>
        <v>0</v>
      </c>
      <c r="G44" s="338"/>
      <c r="H44" s="5"/>
      <c r="I44" s="5"/>
      <c r="K44" s="21"/>
    </row>
    <row r="45" spans="2:11" ht="15.75" thickBot="1" x14ac:dyDescent="0.3">
      <c r="B45" s="46"/>
      <c r="C45" s="67"/>
      <c r="D45" s="156">
        <f>Formulas!$D$22</f>
        <v>1</v>
      </c>
      <c r="E45" s="140">
        <f>+$D39*E39+$D40*E40+$D41*E41+$D42*E42+$D43*E43+$D44*E44</f>
        <v>0</v>
      </c>
      <c r="F45" s="139">
        <f t="shared" si="0"/>
        <v>0</v>
      </c>
      <c r="G45" s="40"/>
      <c r="H45" s="22"/>
      <c r="I45" s="22"/>
      <c r="J45" s="22"/>
      <c r="K45" s="23"/>
    </row>
    <row r="46" spans="2:11" ht="15.75" thickBot="1" x14ac:dyDescent="0.3">
      <c r="B46" s="37"/>
      <c r="C46" s="86"/>
      <c r="D46" s="5"/>
      <c r="E46" s="5"/>
      <c r="F46" s="5"/>
      <c r="G46" s="5"/>
      <c r="H46" s="5"/>
      <c r="I46" s="5"/>
      <c r="J46" s="5"/>
      <c r="K46" s="5"/>
    </row>
    <row r="47" spans="2:11" ht="84.75" thickBot="1" x14ac:dyDescent="0.3">
      <c r="B47" s="51" t="s">
        <v>34</v>
      </c>
      <c r="C47" s="96"/>
      <c r="D47" s="42" t="s">
        <v>702</v>
      </c>
      <c r="E47" s="5"/>
      <c r="F47" s="5"/>
      <c r="G47" s="5"/>
      <c r="H47" s="5"/>
      <c r="I47" s="5"/>
      <c r="J47" s="5"/>
      <c r="K47" s="5"/>
    </row>
    <row r="48" spans="2:11" ht="60.75" thickBot="1" x14ac:dyDescent="0.3">
      <c r="B48" s="46" t="s">
        <v>36</v>
      </c>
      <c r="C48" s="2"/>
      <c r="D48" s="40" t="s">
        <v>346</v>
      </c>
      <c r="E48" s="5"/>
      <c r="F48" s="5"/>
      <c r="G48" s="5"/>
      <c r="H48" s="5"/>
      <c r="I48" s="5"/>
      <c r="J48" s="5"/>
      <c r="K48" s="5"/>
    </row>
    <row r="49" spans="2:11" ht="15.75" thickBot="1" x14ac:dyDescent="0.3">
      <c r="B49" s="1"/>
      <c r="C49" s="74"/>
      <c r="D49" s="5"/>
      <c r="E49" s="5"/>
      <c r="F49" s="5"/>
      <c r="G49" s="5"/>
      <c r="H49" s="5"/>
      <c r="I49" s="5"/>
      <c r="J49" s="5"/>
      <c r="K49" s="5"/>
    </row>
    <row r="50" spans="2:11" ht="24" customHeight="1" thickBot="1" x14ac:dyDescent="0.3">
      <c r="B50" s="1054" t="s">
        <v>38</v>
      </c>
      <c r="C50" s="1055"/>
      <c r="D50" s="1055"/>
      <c r="E50" s="1056"/>
      <c r="F50" s="5"/>
      <c r="G50" s="5"/>
      <c r="H50" s="5"/>
      <c r="I50" s="5"/>
      <c r="J50" s="5"/>
      <c r="K50" s="5"/>
    </row>
    <row r="51" spans="2:11" ht="15.75" thickBot="1" x14ac:dyDescent="0.3">
      <c r="B51" s="1045">
        <v>1</v>
      </c>
      <c r="C51" s="92"/>
      <c r="D51" s="47" t="s">
        <v>39</v>
      </c>
      <c r="E51" s="30" t="s">
        <v>1771</v>
      </c>
      <c r="F51" s="5"/>
      <c r="G51" s="5"/>
      <c r="H51" s="5"/>
      <c r="I51" s="5"/>
      <c r="J51" s="5"/>
      <c r="K51" s="5"/>
    </row>
    <row r="52" spans="2:11" ht="15.75" thickBot="1" x14ac:dyDescent="0.3">
      <c r="B52" s="1046"/>
      <c r="C52" s="92"/>
      <c r="D52" s="40" t="s">
        <v>40</v>
      </c>
      <c r="E52" s="30" t="s">
        <v>1776</v>
      </c>
      <c r="F52" s="5"/>
      <c r="G52" s="5"/>
      <c r="H52" s="5"/>
      <c r="I52" s="5"/>
      <c r="J52" s="5"/>
      <c r="K52" s="5"/>
    </row>
    <row r="53" spans="2:11" ht="15.75" thickBot="1" x14ac:dyDescent="0.3">
      <c r="B53" s="1046"/>
      <c r="C53" s="92"/>
      <c r="D53" s="40" t="s">
        <v>41</v>
      </c>
      <c r="E53" s="30" t="s">
        <v>1777</v>
      </c>
      <c r="F53" s="5"/>
      <c r="G53" s="5"/>
      <c r="H53" s="5"/>
      <c r="I53" s="5"/>
      <c r="J53" s="5"/>
      <c r="K53" s="5"/>
    </row>
    <row r="54" spans="2:11" ht="15.75" thickBot="1" x14ac:dyDescent="0.3">
      <c r="B54" s="1046"/>
      <c r="C54" s="92"/>
      <c r="D54" s="40" t="s">
        <v>42</v>
      </c>
      <c r="E54" s="30" t="s">
        <v>1778</v>
      </c>
      <c r="F54" s="5"/>
      <c r="G54" s="5"/>
      <c r="H54" s="5"/>
      <c r="I54" s="5"/>
      <c r="J54" s="5"/>
      <c r="K54" s="5"/>
    </row>
    <row r="55" spans="2:11" ht="15.75" thickBot="1" x14ac:dyDescent="0.3">
      <c r="B55" s="1046"/>
      <c r="C55" s="92"/>
      <c r="D55" s="40" t="s">
        <v>43</v>
      </c>
      <c r="E55" s="515" t="s">
        <v>1779</v>
      </c>
      <c r="F55" s="5"/>
      <c r="G55" s="5"/>
      <c r="H55" s="5"/>
      <c r="I55" s="5"/>
      <c r="J55" s="5"/>
      <c r="K55" s="5"/>
    </row>
    <row r="56" spans="2:11" ht="15.75" thickBot="1" x14ac:dyDescent="0.3">
      <c r="B56" s="1046"/>
      <c r="C56" s="92"/>
      <c r="D56" s="40" t="s">
        <v>44</v>
      </c>
      <c r="E56" s="30">
        <v>4380200</v>
      </c>
      <c r="F56" s="5"/>
      <c r="G56" s="5"/>
      <c r="H56" s="5"/>
      <c r="I56" s="5"/>
      <c r="J56" s="5"/>
      <c r="K56" s="5"/>
    </row>
    <row r="57" spans="2:11" ht="15.75" thickBot="1" x14ac:dyDescent="0.3">
      <c r="B57" s="1047"/>
      <c r="C57" s="2"/>
      <c r="D57" s="40" t="s">
        <v>45</v>
      </c>
      <c r="E57" s="30" t="s">
        <v>1773</v>
      </c>
      <c r="F57" s="5"/>
      <c r="G57" s="5"/>
      <c r="H57" s="5"/>
      <c r="I57" s="5"/>
      <c r="J57" s="5"/>
      <c r="K57" s="5"/>
    </row>
    <row r="58" spans="2:11" ht="15.75" thickBot="1" x14ac:dyDescent="0.3">
      <c r="B58" s="1"/>
      <c r="C58" s="74"/>
      <c r="D58" s="5"/>
      <c r="E58" s="5"/>
      <c r="F58" s="5"/>
      <c r="G58" s="5"/>
      <c r="H58" s="5"/>
      <c r="I58" s="5"/>
      <c r="J58" s="5"/>
      <c r="K58" s="5"/>
    </row>
    <row r="59" spans="2:11" ht="15.75" thickBot="1" x14ac:dyDescent="0.3">
      <c r="B59" s="1054" t="s">
        <v>46</v>
      </c>
      <c r="C59" s="1055"/>
      <c r="D59" s="1055"/>
      <c r="E59" s="1056"/>
      <c r="F59" s="5"/>
      <c r="G59" s="5"/>
      <c r="H59" s="5"/>
      <c r="I59" s="5"/>
      <c r="J59" s="5"/>
      <c r="K59" s="5"/>
    </row>
    <row r="60" spans="2:11" ht="15.75" thickBot="1" x14ac:dyDescent="0.3">
      <c r="B60" s="1045">
        <v>1</v>
      </c>
      <c r="C60" s="92"/>
      <c r="D60" s="47" t="s">
        <v>39</v>
      </c>
      <c r="E60" s="124" t="s">
        <v>47</v>
      </c>
      <c r="F60" s="5"/>
      <c r="G60" s="5"/>
      <c r="H60" s="5"/>
      <c r="I60" s="5"/>
      <c r="J60" s="5"/>
      <c r="K60" s="5"/>
    </row>
    <row r="61" spans="2:11" ht="15.75" thickBot="1" x14ac:dyDescent="0.3">
      <c r="B61" s="1046"/>
      <c r="C61" s="92"/>
      <c r="D61" s="40" t="s">
        <v>40</v>
      </c>
      <c r="E61" s="124" t="s">
        <v>48</v>
      </c>
      <c r="F61" s="5"/>
      <c r="G61" s="5"/>
      <c r="H61" s="5"/>
      <c r="I61" s="5"/>
      <c r="J61" s="5"/>
      <c r="K61" s="5"/>
    </row>
    <row r="62" spans="2:11" ht="15.75" thickBot="1" x14ac:dyDescent="0.3">
      <c r="B62" s="1046"/>
      <c r="C62" s="92"/>
      <c r="D62" s="40" t="s">
        <v>41</v>
      </c>
      <c r="E62" s="164"/>
      <c r="F62" s="5"/>
      <c r="G62" s="5"/>
      <c r="H62" s="5"/>
      <c r="I62" s="5"/>
      <c r="J62" s="5"/>
      <c r="K62" s="5"/>
    </row>
    <row r="63" spans="2:11" ht="15.75" thickBot="1" x14ac:dyDescent="0.3">
      <c r="B63" s="1046"/>
      <c r="C63" s="92"/>
      <c r="D63" s="40" t="s">
        <v>42</v>
      </c>
      <c r="E63" s="164"/>
      <c r="F63" s="5"/>
      <c r="G63" s="5"/>
      <c r="H63" s="5"/>
      <c r="I63" s="5"/>
      <c r="J63" s="5"/>
      <c r="K63" s="5"/>
    </row>
    <row r="64" spans="2:11" ht="15.75" thickBot="1" x14ac:dyDescent="0.3">
      <c r="B64" s="1046"/>
      <c r="C64" s="92"/>
      <c r="D64" s="40" t="s">
        <v>43</v>
      </c>
      <c r="E64" s="164"/>
      <c r="F64" s="5"/>
      <c r="G64" s="5"/>
      <c r="H64" s="5"/>
      <c r="I64" s="5"/>
      <c r="J64" s="5"/>
      <c r="K64" s="5"/>
    </row>
    <row r="65" spans="2:11" ht="15.75" thickBot="1" x14ac:dyDescent="0.3">
      <c r="B65" s="1046"/>
      <c r="C65" s="92"/>
      <c r="D65" s="40" t="s">
        <v>44</v>
      </c>
      <c r="E65" s="164"/>
      <c r="F65" s="5"/>
      <c r="G65" s="5"/>
      <c r="H65" s="5"/>
      <c r="I65" s="5"/>
      <c r="J65" s="5"/>
      <c r="K65" s="5"/>
    </row>
    <row r="66" spans="2:11" ht="15.75" thickBot="1" x14ac:dyDescent="0.3">
      <c r="B66" s="1047"/>
      <c r="C66" s="2"/>
      <c r="D66" s="40" t="s">
        <v>45</v>
      </c>
      <c r="E66" s="164"/>
      <c r="F66" s="5"/>
      <c r="G66" s="5"/>
      <c r="H66" s="5"/>
      <c r="I66" s="5"/>
      <c r="J66" s="5"/>
      <c r="K66" s="5"/>
    </row>
    <row r="67" spans="2:11" ht="15.75" thickBot="1" x14ac:dyDescent="0.3">
      <c r="B67" s="1"/>
      <c r="C67" s="74"/>
      <c r="D67" s="5"/>
      <c r="E67" s="5"/>
      <c r="F67" s="5"/>
      <c r="G67" s="5"/>
      <c r="H67" s="5"/>
      <c r="I67" s="5"/>
      <c r="J67" s="5"/>
      <c r="K67" s="5"/>
    </row>
    <row r="68" spans="2:11" ht="15.75" thickBot="1" x14ac:dyDescent="0.3">
      <c r="B68" s="1054" t="s">
        <v>49</v>
      </c>
      <c r="C68" s="1055"/>
      <c r="D68" s="1055"/>
      <c r="E68" s="1055"/>
      <c r="F68" s="1056"/>
      <c r="G68" s="5"/>
      <c r="H68" s="5"/>
      <c r="I68" s="5"/>
      <c r="J68" s="5"/>
      <c r="K68" s="5"/>
    </row>
    <row r="69" spans="2:11" ht="24.75" thickBot="1" x14ac:dyDescent="0.3">
      <c r="B69" s="46" t="s">
        <v>50</v>
      </c>
      <c r="C69" s="40" t="s">
        <v>51</v>
      </c>
      <c r="D69" s="40" t="s">
        <v>52</v>
      </c>
      <c r="E69" s="40" t="s">
        <v>53</v>
      </c>
      <c r="F69" s="5"/>
      <c r="G69" s="5"/>
      <c r="H69" s="5"/>
      <c r="I69" s="5"/>
      <c r="J69" s="5"/>
    </row>
    <row r="70" spans="2:11" ht="84.75" thickBot="1" x14ac:dyDescent="0.3">
      <c r="B70" s="48">
        <v>42401</v>
      </c>
      <c r="C70" s="40">
        <v>0.01</v>
      </c>
      <c r="D70" s="49" t="s">
        <v>703</v>
      </c>
      <c r="E70" s="40"/>
      <c r="F70" s="5"/>
      <c r="G70" s="5"/>
      <c r="H70" s="5"/>
      <c r="I70" s="5"/>
      <c r="J70" s="5"/>
    </row>
    <row r="71" spans="2:11" ht="15.75" thickBot="1" x14ac:dyDescent="0.3">
      <c r="B71" s="3"/>
      <c r="C71" s="93"/>
      <c r="D71" s="5"/>
      <c r="E71" s="5"/>
      <c r="F71" s="5"/>
      <c r="G71" s="5"/>
      <c r="H71" s="5"/>
      <c r="I71" s="5"/>
      <c r="J71" s="5"/>
      <c r="K71" s="5"/>
    </row>
    <row r="72" spans="2:11" x14ac:dyDescent="0.25">
      <c r="B72" s="127" t="s">
        <v>55</v>
      </c>
      <c r="C72" s="94"/>
      <c r="D72" s="5"/>
      <c r="E72" s="5"/>
      <c r="F72" s="5"/>
      <c r="G72" s="5"/>
      <c r="H72" s="5"/>
      <c r="I72" s="5"/>
      <c r="J72" s="5"/>
      <c r="K72" s="5"/>
    </row>
    <row r="73" spans="2:11" x14ac:dyDescent="0.25">
      <c r="B73" s="1168"/>
      <c r="C73" s="1169"/>
      <c r="D73" s="1169"/>
      <c r="E73" s="1169"/>
      <c r="F73" s="1170"/>
      <c r="G73" s="5"/>
      <c r="H73" s="5"/>
      <c r="I73" s="5"/>
      <c r="J73" s="5"/>
      <c r="K73" s="5"/>
    </row>
    <row r="74" spans="2:11" x14ac:dyDescent="0.25">
      <c r="B74" s="1171"/>
      <c r="C74" s="1172"/>
      <c r="D74" s="1172"/>
      <c r="E74" s="1172"/>
      <c r="F74" s="1173"/>
      <c r="G74" s="5"/>
      <c r="H74" s="5"/>
      <c r="I74" s="5"/>
      <c r="J74" s="5"/>
      <c r="K74" s="5"/>
    </row>
    <row r="75" spans="2:11" x14ac:dyDescent="0.25">
      <c r="B75" s="1"/>
      <c r="C75" s="74"/>
      <c r="D75" s="5"/>
      <c r="E75" s="5"/>
      <c r="F75" s="5"/>
      <c r="G75" s="5"/>
      <c r="H75" s="5"/>
      <c r="I75" s="5"/>
      <c r="J75" s="5"/>
      <c r="K75" s="5"/>
    </row>
    <row r="76" spans="2:11" ht="15.75" thickBot="1" x14ac:dyDescent="0.3">
      <c r="B76" s="5"/>
      <c r="D76" s="5"/>
      <c r="E76" s="5"/>
      <c r="F76" s="5"/>
      <c r="G76" s="5"/>
      <c r="H76" s="5"/>
      <c r="I76" s="5"/>
      <c r="J76" s="5"/>
      <c r="K76" s="5"/>
    </row>
    <row r="77" spans="2:11" ht="24.75" thickBot="1" x14ac:dyDescent="0.3">
      <c r="B77" s="50" t="s">
        <v>56</v>
      </c>
      <c r="C77" s="95"/>
      <c r="D77" s="5"/>
      <c r="E77" s="5"/>
      <c r="F77" s="5"/>
      <c r="G77" s="5"/>
      <c r="H77" s="5"/>
      <c r="I77" s="5"/>
      <c r="J77" s="5"/>
      <c r="K77" s="5"/>
    </row>
    <row r="78" spans="2:11" ht="15.75" thickBot="1" x14ac:dyDescent="0.3">
      <c r="B78" s="37"/>
      <c r="C78" s="86"/>
      <c r="D78" s="5"/>
      <c r="E78" s="5"/>
      <c r="F78" s="5"/>
      <c r="G78" s="5"/>
      <c r="H78" s="5"/>
      <c r="I78" s="5"/>
      <c r="J78" s="5"/>
      <c r="K78" s="5"/>
    </row>
    <row r="79" spans="2:11" ht="84.75" thickBot="1" x14ac:dyDescent="0.3">
      <c r="B79" s="51" t="s">
        <v>57</v>
      </c>
      <c r="C79" s="96"/>
      <c r="D79" s="42" t="s">
        <v>656</v>
      </c>
      <c r="E79" s="5"/>
      <c r="F79" s="5"/>
      <c r="G79" s="5"/>
      <c r="H79" s="5"/>
      <c r="I79" s="5"/>
      <c r="J79" s="5"/>
      <c r="K79" s="5"/>
    </row>
    <row r="80" spans="2:11" x14ac:dyDescent="0.25">
      <c r="B80" s="1045" t="s">
        <v>59</v>
      </c>
      <c r="C80" s="92"/>
      <c r="D80" s="52" t="s">
        <v>60</v>
      </c>
      <c r="E80" s="5"/>
      <c r="F80" s="5"/>
      <c r="G80" s="5"/>
      <c r="H80" s="5"/>
      <c r="I80" s="5"/>
      <c r="J80" s="5"/>
      <c r="K80" s="5"/>
    </row>
    <row r="81" spans="2:11" ht="120" x14ac:dyDescent="0.25">
      <c r="B81" s="1046"/>
      <c r="C81" s="92"/>
      <c r="D81" s="45" t="s">
        <v>657</v>
      </c>
      <c r="E81" s="5"/>
      <c r="F81" s="5"/>
      <c r="G81" s="5"/>
      <c r="H81" s="5"/>
      <c r="I81" s="5"/>
      <c r="J81" s="5"/>
      <c r="K81" s="5"/>
    </row>
    <row r="82" spans="2:11" x14ac:dyDescent="0.25">
      <c r="B82" s="1046"/>
      <c r="C82" s="92"/>
      <c r="D82" s="52" t="s">
        <v>63</v>
      </c>
      <c r="E82" s="5"/>
      <c r="F82" s="5"/>
      <c r="G82" s="5"/>
      <c r="H82" s="5"/>
      <c r="I82" s="5"/>
      <c r="J82" s="5"/>
      <c r="K82" s="5"/>
    </row>
    <row r="83" spans="2:11" x14ac:dyDescent="0.25">
      <c r="B83" s="1046"/>
      <c r="C83" s="92"/>
      <c r="D83" s="45" t="s">
        <v>658</v>
      </c>
      <c r="E83" s="5"/>
      <c r="F83" s="5"/>
      <c r="G83" s="5"/>
      <c r="H83" s="5"/>
      <c r="I83" s="5"/>
      <c r="J83" s="5"/>
      <c r="K83" s="5"/>
    </row>
    <row r="84" spans="2:11" ht="24" x14ac:dyDescent="0.25">
      <c r="B84" s="1046"/>
      <c r="C84" s="92"/>
      <c r="D84" s="45" t="s">
        <v>659</v>
      </c>
      <c r="E84" s="5"/>
      <c r="F84" s="5"/>
      <c r="G84" s="5"/>
      <c r="H84" s="5"/>
      <c r="I84" s="5"/>
      <c r="J84" s="5"/>
      <c r="K84" s="5"/>
    </row>
    <row r="85" spans="2:11" x14ac:dyDescent="0.25">
      <c r="B85" s="1046"/>
      <c r="C85" s="92"/>
      <c r="D85" s="52" t="s">
        <v>288</v>
      </c>
      <c r="E85" s="5"/>
      <c r="F85" s="5"/>
      <c r="G85" s="5"/>
      <c r="H85" s="5"/>
      <c r="I85" s="5"/>
      <c r="J85" s="5"/>
      <c r="K85" s="5"/>
    </row>
    <row r="86" spans="2:11" ht="24" x14ac:dyDescent="0.25">
      <c r="B86" s="1046"/>
      <c r="C86" s="92"/>
      <c r="D86" s="45" t="s">
        <v>660</v>
      </c>
      <c r="E86" s="5"/>
      <c r="F86" s="5"/>
      <c r="G86" s="5"/>
      <c r="H86" s="5"/>
      <c r="I86" s="5"/>
      <c r="J86" s="5"/>
      <c r="K86" s="5"/>
    </row>
    <row r="87" spans="2:11" ht="24.75" thickBot="1" x14ac:dyDescent="0.3">
      <c r="B87" s="1047"/>
      <c r="C87" s="2"/>
      <c r="D87" s="40" t="s">
        <v>661</v>
      </c>
      <c r="E87" s="5"/>
      <c r="F87" s="5"/>
      <c r="G87" s="5"/>
      <c r="H87" s="5"/>
      <c r="I87" s="5"/>
      <c r="J87" s="5"/>
      <c r="K87" s="5"/>
    </row>
    <row r="88" spans="2:11" ht="24.75" thickBot="1" x14ac:dyDescent="0.3">
      <c r="B88" s="46" t="s">
        <v>72</v>
      </c>
      <c r="C88" s="2"/>
      <c r="D88" s="40"/>
      <c r="E88" s="5"/>
      <c r="F88" s="5"/>
      <c r="G88" s="5"/>
      <c r="H88" s="5"/>
      <c r="I88" s="5"/>
      <c r="J88" s="5"/>
      <c r="K88" s="5"/>
    </row>
    <row r="89" spans="2:11" ht="108" x14ac:dyDescent="0.25">
      <c r="B89" s="1045" t="s">
        <v>73</v>
      </c>
      <c r="C89" s="92"/>
      <c r="D89" s="45" t="s">
        <v>662</v>
      </c>
      <c r="E89" s="5"/>
      <c r="F89" s="5"/>
      <c r="G89" s="5"/>
      <c r="H89" s="5"/>
      <c r="I89" s="5"/>
      <c r="J89" s="5"/>
      <c r="K89" s="5"/>
    </row>
    <row r="90" spans="2:11" x14ac:dyDescent="0.25">
      <c r="B90" s="1046"/>
      <c r="C90" s="92"/>
      <c r="D90" s="45" t="s">
        <v>663</v>
      </c>
      <c r="E90" s="5"/>
      <c r="F90" s="5"/>
      <c r="G90" s="5"/>
      <c r="H90" s="5"/>
      <c r="I90" s="5"/>
      <c r="J90" s="5"/>
      <c r="K90" s="5"/>
    </row>
    <row r="91" spans="2:11" ht="108" x14ac:dyDescent="0.25">
      <c r="B91" s="1046"/>
      <c r="C91" s="92"/>
      <c r="D91" s="45" t="s">
        <v>664</v>
      </c>
      <c r="E91" s="5"/>
      <c r="F91" s="5"/>
      <c r="G91" s="5"/>
      <c r="H91" s="5"/>
      <c r="I91" s="5"/>
      <c r="J91" s="5"/>
      <c r="K91" s="5"/>
    </row>
    <row r="92" spans="2:11" ht="108" x14ac:dyDescent="0.25">
      <c r="B92" s="1046"/>
      <c r="C92" s="92"/>
      <c r="D92" s="45" t="s">
        <v>665</v>
      </c>
      <c r="E92" s="5"/>
      <c r="F92" s="5"/>
      <c r="G92" s="5"/>
      <c r="H92" s="5"/>
      <c r="I92" s="5"/>
      <c r="J92" s="5"/>
      <c r="K92" s="5"/>
    </row>
    <row r="93" spans="2:11" ht="108" x14ac:dyDescent="0.25">
      <c r="B93" s="1046"/>
      <c r="C93" s="92"/>
      <c r="D93" s="45" t="s">
        <v>666</v>
      </c>
      <c r="E93" s="5"/>
      <c r="F93" s="5"/>
      <c r="G93" s="5"/>
      <c r="H93" s="5"/>
      <c r="I93" s="5"/>
      <c r="J93" s="5"/>
      <c r="K93" s="5"/>
    </row>
    <row r="94" spans="2:11" ht="84" x14ac:dyDescent="0.25">
      <c r="B94" s="1046"/>
      <c r="C94" s="92"/>
      <c r="D94" s="45" t="s">
        <v>667</v>
      </c>
      <c r="E94" s="5"/>
      <c r="F94" s="5"/>
      <c r="G94" s="5"/>
      <c r="H94" s="5"/>
      <c r="I94" s="5"/>
      <c r="J94" s="5"/>
      <c r="K94" s="5"/>
    </row>
    <row r="95" spans="2:11" ht="84" x14ac:dyDescent="0.25">
      <c r="B95" s="1046"/>
      <c r="C95" s="92"/>
      <c r="D95" s="45" t="s">
        <v>668</v>
      </c>
      <c r="E95" s="5"/>
      <c r="F95" s="5"/>
      <c r="G95" s="5"/>
      <c r="H95" s="5"/>
      <c r="I95" s="5"/>
      <c r="J95" s="5"/>
      <c r="K95" s="5"/>
    </row>
    <row r="96" spans="2:11" ht="216" x14ac:dyDescent="0.25">
      <c r="B96" s="1046"/>
      <c r="C96" s="92"/>
      <c r="D96" s="45" t="s">
        <v>669</v>
      </c>
      <c r="E96" s="5"/>
      <c r="F96" s="5"/>
      <c r="G96" s="5"/>
      <c r="H96" s="5"/>
      <c r="I96" s="5"/>
      <c r="J96" s="5"/>
      <c r="K96" s="5"/>
    </row>
    <row r="97" spans="2:11" ht="168" x14ac:dyDescent="0.25">
      <c r="B97" s="1046"/>
      <c r="C97" s="92"/>
      <c r="D97" s="45" t="s">
        <v>670</v>
      </c>
      <c r="E97" s="5"/>
      <c r="F97" s="5"/>
      <c r="G97" s="5"/>
      <c r="H97" s="5"/>
      <c r="I97" s="5"/>
      <c r="J97" s="5"/>
      <c r="K97" s="5"/>
    </row>
    <row r="98" spans="2:11" ht="24" x14ac:dyDescent="0.25">
      <c r="B98" s="1046"/>
      <c r="C98" s="92"/>
      <c r="D98" s="45" t="s">
        <v>671</v>
      </c>
      <c r="E98" s="5"/>
      <c r="F98" s="5"/>
      <c r="G98" s="5"/>
      <c r="H98" s="5"/>
      <c r="I98" s="5"/>
      <c r="J98" s="5"/>
      <c r="K98" s="5"/>
    </row>
    <row r="99" spans="2:11" ht="24" x14ac:dyDescent="0.25">
      <c r="B99" s="1046"/>
      <c r="C99" s="92"/>
      <c r="D99" s="25" t="s">
        <v>672</v>
      </c>
      <c r="E99" s="5"/>
      <c r="F99" s="5"/>
      <c r="G99" s="5"/>
      <c r="H99" s="5"/>
      <c r="I99" s="5"/>
      <c r="J99" s="5"/>
      <c r="K99" s="5"/>
    </row>
    <row r="100" spans="2:11" ht="36" x14ac:dyDescent="0.25">
      <c r="B100" s="1046"/>
      <c r="C100" s="92"/>
      <c r="D100" s="25" t="s">
        <v>673</v>
      </c>
      <c r="E100" s="5"/>
      <c r="F100" s="5"/>
      <c r="G100" s="5"/>
      <c r="H100" s="5"/>
      <c r="I100" s="5"/>
      <c r="J100" s="5"/>
      <c r="K100" s="5"/>
    </row>
    <row r="101" spans="2:11" ht="48" x14ac:dyDescent="0.25">
      <c r="B101" s="1046"/>
      <c r="C101" s="92"/>
      <c r="D101" s="25" t="s">
        <v>674</v>
      </c>
      <c r="E101" s="5"/>
      <c r="F101" s="5"/>
      <c r="G101" s="5"/>
      <c r="H101" s="5"/>
      <c r="I101" s="5"/>
      <c r="J101" s="5"/>
      <c r="K101" s="5"/>
    </row>
    <row r="102" spans="2:11" ht="144" x14ac:dyDescent="0.25">
      <c r="B102" s="1046"/>
      <c r="C102" s="92"/>
      <c r="D102" s="45" t="s">
        <v>675</v>
      </c>
      <c r="E102" s="5"/>
      <c r="F102" s="5"/>
      <c r="G102" s="5"/>
      <c r="H102" s="5"/>
      <c r="I102" s="5"/>
      <c r="J102" s="5"/>
      <c r="K102" s="5"/>
    </row>
    <row r="103" spans="2:11" ht="60" x14ac:dyDescent="0.25">
      <c r="B103" s="1046"/>
      <c r="C103" s="92"/>
      <c r="D103" s="45" t="s">
        <v>676</v>
      </c>
      <c r="E103" s="5"/>
      <c r="F103" s="5"/>
      <c r="G103" s="5"/>
      <c r="H103" s="5"/>
      <c r="I103" s="5"/>
      <c r="J103" s="5"/>
      <c r="K103" s="5"/>
    </row>
    <row r="104" spans="2:11" ht="36" x14ac:dyDescent="0.25">
      <c r="B104" s="1046"/>
      <c r="C104" s="92"/>
      <c r="D104" s="45" t="s">
        <v>677</v>
      </c>
      <c r="E104" s="5"/>
      <c r="F104" s="5"/>
      <c r="G104" s="5"/>
      <c r="H104" s="5"/>
      <c r="I104" s="5"/>
      <c r="J104" s="5"/>
      <c r="K104" s="5"/>
    </row>
    <row r="105" spans="2:11" ht="60" x14ac:dyDescent="0.25">
      <c r="B105" s="1046"/>
      <c r="C105" s="92"/>
      <c r="D105" s="60" t="s">
        <v>678</v>
      </c>
      <c r="E105" s="5"/>
      <c r="F105" s="5"/>
      <c r="G105" s="5"/>
      <c r="H105" s="5"/>
      <c r="I105" s="5"/>
      <c r="J105" s="5"/>
      <c r="K105" s="5"/>
    </row>
    <row r="106" spans="2:11" ht="24" x14ac:dyDescent="0.25">
      <c r="B106" s="1046"/>
      <c r="C106" s="92"/>
      <c r="D106" s="60" t="s">
        <v>679</v>
      </c>
      <c r="E106" s="5"/>
      <c r="F106" s="5"/>
      <c r="G106" s="5"/>
      <c r="H106" s="5"/>
      <c r="I106" s="5"/>
      <c r="J106" s="5"/>
      <c r="K106" s="5"/>
    </row>
    <row r="107" spans="2:11" ht="24" x14ac:dyDescent="0.25">
      <c r="B107" s="1046"/>
      <c r="C107" s="92"/>
      <c r="D107" s="60" t="s">
        <v>680</v>
      </c>
      <c r="E107" s="5"/>
      <c r="F107" s="5"/>
      <c r="G107" s="5"/>
      <c r="H107" s="5"/>
      <c r="I107" s="5"/>
      <c r="J107" s="5"/>
      <c r="K107" s="5"/>
    </row>
    <row r="108" spans="2:11" ht="36.75" thickBot="1" x14ac:dyDescent="0.3">
      <c r="B108" s="1047"/>
      <c r="C108" s="2"/>
      <c r="D108" s="61" t="s">
        <v>681</v>
      </c>
      <c r="E108" s="5"/>
      <c r="F108" s="5"/>
      <c r="G108" s="5"/>
      <c r="H108" s="5"/>
      <c r="I108" s="5"/>
      <c r="J108" s="5"/>
      <c r="K108" s="5"/>
    </row>
    <row r="109" spans="2:11" ht="36" x14ac:dyDescent="0.25">
      <c r="B109" s="1045" t="s">
        <v>90</v>
      </c>
      <c r="C109" s="92"/>
      <c r="D109" s="52" t="s">
        <v>682</v>
      </c>
      <c r="E109" s="5"/>
      <c r="F109" s="5"/>
      <c r="G109" s="5"/>
      <c r="H109" s="5"/>
      <c r="I109" s="5"/>
      <c r="J109" s="5"/>
      <c r="K109" s="5"/>
    </row>
    <row r="110" spans="2:11" x14ac:dyDescent="0.25">
      <c r="B110" s="1046"/>
      <c r="C110" s="92"/>
      <c r="D110" s="16"/>
      <c r="E110" s="5"/>
      <c r="F110" s="5"/>
      <c r="G110" s="5"/>
      <c r="H110" s="5"/>
      <c r="I110" s="5"/>
      <c r="J110" s="5"/>
      <c r="K110" s="5"/>
    </row>
    <row r="111" spans="2:11" x14ac:dyDescent="0.25">
      <c r="B111" s="1046"/>
      <c r="C111" s="92"/>
      <c r="D111" s="45" t="s">
        <v>91</v>
      </c>
      <c r="E111" s="5"/>
      <c r="F111" s="5"/>
      <c r="G111" s="5"/>
      <c r="H111" s="5"/>
      <c r="I111" s="5"/>
      <c r="J111" s="5"/>
      <c r="K111" s="5"/>
    </row>
    <row r="112" spans="2:11" ht="49.5" x14ac:dyDescent="0.25">
      <c r="B112" s="1046"/>
      <c r="C112" s="92"/>
      <c r="D112" s="45" t="s">
        <v>683</v>
      </c>
      <c r="E112" s="5"/>
      <c r="F112" s="5"/>
      <c r="G112" s="5"/>
      <c r="H112" s="5"/>
      <c r="I112" s="5"/>
      <c r="J112" s="5"/>
      <c r="K112" s="5"/>
    </row>
    <row r="113" spans="2:11" ht="37.5" x14ac:dyDescent="0.25">
      <c r="B113" s="1046"/>
      <c r="C113" s="92"/>
      <c r="D113" s="45" t="s">
        <v>684</v>
      </c>
      <c r="E113" s="5"/>
      <c r="F113" s="5"/>
      <c r="G113" s="5"/>
      <c r="H113" s="5"/>
      <c r="I113" s="5"/>
      <c r="J113" s="5"/>
      <c r="K113" s="5"/>
    </row>
    <row r="114" spans="2:11" ht="49.5" x14ac:dyDescent="0.25">
      <c r="B114" s="1046"/>
      <c r="C114" s="92"/>
      <c r="D114" s="45" t="s">
        <v>685</v>
      </c>
      <c r="E114" s="5"/>
      <c r="F114" s="5"/>
      <c r="G114" s="5"/>
      <c r="H114" s="5"/>
      <c r="I114" s="5"/>
      <c r="J114" s="5"/>
      <c r="K114" s="5"/>
    </row>
    <row r="115" spans="2:11" x14ac:dyDescent="0.25">
      <c r="B115" s="1046"/>
      <c r="C115" s="92"/>
      <c r="D115" s="52" t="s">
        <v>246</v>
      </c>
      <c r="E115" s="5"/>
      <c r="F115" s="5"/>
      <c r="G115" s="5"/>
      <c r="H115" s="5"/>
      <c r="I115" s="5"/>
      <c r="J115" s="5"/>
      <c r="K115" s="5"/>
    </row>
    <row r="116" spans="2:11" ht="48" x14ac:dyDescent="0.25">
      <c r="B116" s="1046"/>
      <c r="C116" s="92"/>
      <c r="D116" s="52" t="s">
        <v>686</v>
      </c>
      <c r="E116" s="5"/>
      <c r="F116" s="5"/>
      <c r="G116" s="5"/>
      <c r="H116" s="5"/>
      <c r="I116" s="5"/>
      <c r="J116" s="5"/>
      <c r="K116" s="5"/>
    </row>
    <row r="117" spans="2:11" x14ac:dyDescent="0.25">
      <c r="B117" s="1046"/>
      <c r="C117" s="92"/>
      <c r="D117" s="16"/>
      <c r="E117" s="5"/>
      <c r="F117" s="5"/>
      <c r="G117" s="5"/>
      <c r="H117" s="5"/>
      <c r="I117" s="5"/>
      <c r="J117" s="5"/>
      <c r="K117" s="5"/>
    </row>
    <row r="118" spans="2:11" x14ac:dyDescent="0.25">
      <c r="B118" s="1046"/>
      <c r="C118" s="92"/>
      <c r="D118" s="45" t="s">
        <v>91</v>
      </c>
      <c r="E118" s="5"/>
      <c r="F118" s="5"/>
      <c r="G118" s="5"/>
      <c r="H118" s="5"/>
      <c r="I118" s="5"/>
      <c r="J118" s="5"/>
      <c r="K118" s="5"/>
    </row>
    <row r="119" spans="2:11" ht="61.5" x14ac:dyDescent="0.25">
      <c r="B119" s="1046"/>
      <c r="C119" s="92"/>
      <c r="D119" s="45" t="s">
        <v>687</v>
      </c>
      <c r="E119" s="5"/>
      <c r="F119" s="5"/>
      <c r="G119" s="5"/>
      <c r="H119" s="5"/>
      <c r="I119" s="5"/>
      <c r="J119" s="5"/>
      <c r="K119" s="5"/>
    </row>
    <row r="120" spans="2:11" ht="61.5" x14ac:dyDescent="0.25">
      <c r="B120" s="1046"/>
      <c r="C120" s="92"/>
      <c r="D120" s="45" t="s">
        <v>688</v>
      </c>
      <c r="E120" s="5"/>
      <c r="F120" s="5"/>
      <c r="G120" s="5"/>
      <c r="H120" s="5"/>
      <c r="I120" s="5"/>
      <c r="J120" s="5"/>
      <c r="K120" s="5"/>
    </row>
    <row r="121" spans="2:11" ht="62.25" thickBot="1" x14ac:dyDescent="0.3">
      <c r="B121" s="1047"/>
      <c r="C121" s="2"/>
      <c r="D121" s="40" t="s">
        <v>689</v>
      </c>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sheetProtection insertRows="0"/>
  <mergeCells count="40">
    <mergeCell ref="B10:D10"/>
    <mergeCell ref="F10:S10"/>
    <mergeCell ref="F11:S11"/>
    <mergeCell ref="E12:R12"/>
    <mergeCell ref="E13:R13"/>
    <mergeCell ref="D16:K16"/>
    <mergeCell ref="D21:K21"/>
    <mergeCell ref="D36:D38"/>
    <mergeCell ref="E36:F36"/>
    <mergeCell ref="E37:E38"/>
    <mergeCell ref="G37:G38"/>
    <mergeCell ref="B89:B108"/>
    <mergeCell ref="B109:B121"/>
    <mergeCell ref="C24:C26"/>
    <mergeCell ref="D24:D26"/>
    <mergeCell ref="E24:E26"/>
    <mergeCell ref="B80:B87"/>
    <mergeCell ref="B59:E59"/>
    <mergeCell ref="B60:B66"/>
    <mergeCell ref="B15:B20"/>
    <mergeCell ref="B73:F74"/>
    <mergeCell ref="B68:F68"/>
    <mergeCell ref="D22:K22"/>
    <mergeCell ref="D23:K23"/>
    <mergeCell ref="D34:K34"/>
    <mergeCell ref="D35:K35"/>
    <mergeCell ref="B50:E50"/>
    <mergeCell ref="B51:B57"/>
    <mergeCell ref="F24:F26"/>
    <mergeCell ref="G24:J24"/>
    <mergeCell ref="H25:H26"/>
    <mergeCell ref="I25:I26"/>
    <mergeCell ref="J25:J26"/>
    <mergeCell ref="C36:C38"/>
    <mergeCell ref="D15:K15"/>
    <mergeCell ref="A1:P1"/>
    <mergeCell ref="A2:P2"/>
    <mergeCell ref="A3:P3"/>
    <mergeCell ref="A4:D4"/>
    <mergeCell ref="A5:P5"/>
  </mergeCells>
  <conditionalFormatting sqref="D45">
    <cfRule type="containsText" dxfId="57" priority="5" operator="containsText" text="ERROR">
      <formula>NOT(ISERROR(SEARCH("ERROR",D45)))</formula>
    </cfRule>
  </conditionalFormatting>
  <conditionalFormatting sqref="F10">
    <cfRule type="notContainsBlanks" dxfId="56" priority="4">
      <formula>LEN(TRIM(F10))&gt;0</formula>
    </cfRule>
  </conditionalFormatting>
  <conditionalFormatting sqref="F11:S11">
    <cfRule type="expression" dxfId="55" priority="2">
      <formula>E11="NO SE REPORTA"</formula>
    </cfRule>
    <cfRule type="expression" dxfId="54" priority="3">
      <formula>E10="NO APLICA"</formula>
    </cfRule>
  </conditionalFormatting>
  <conditionalFormatting sqref="E12:R12">
    <cfRule type="expression" dxfId="53"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9">
      <formula1>0</formula1>
    </dataValidation>
    <dataValidation type="whole" operator="greaterThanOrEqual" allowBlank="1" showInputMessage="1" showErrorMessage="1" errorTitle="ERROR" error="Valor en PESOS (sin centavos)" sqref="G27:J32">
      <formula1>0</formula1>
    </dataValidation>
    <dataValidation type="decimal" allowBlank="1" showInputMessage="1" showErrorMessage="1" errorTitle="ERROR" error="Escriba un valor entre 0% y 100%" sqref="D39:D44">
      <formula1>0</formula1>
      <formula2>1</formula2>
    </dataValidation>
    <dataValidation allowBlank="1" showInputMessage="1" showErrorMessage="1" sqref="D45 I18:I19 G33:J33 E39:F45"/>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55" r:id="rId1"/>
  </hyperlinks>
  <pageMargins left="0.25" right="0.25" top="0.75" bottom="0.75" header="0.3" footer="0.3"/>
  <pageSetup paperSize="178" orientation="landscape" horizontalDpi="1200" verticalDpi="12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8"/>
  <sheetViews>
    <sheetView showGridLines="0" zoomScale="98" zoomScaleNormal="98" workbookViewId="0">
      <selection activeCell="L23" sqref="L23"/>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24.85546875" customWidth="1"/>
    <col min="7" max="8" width="12" customWidth="1"/>
    <col min="10" max="10" width="3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704</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8" t="s">
        <v>1192</v>
      </c>
      <c r="C8" s="209">
        <v>2022</v>
      </c>
      <c r="D8" s="214">
        <f>IF(E10="NO APLICA","NO APLICA",IF(E11="NO SE REPORTA","SIN INFORMACION",+I30))</f>
        <v>1</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1927</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t="s">
        <v>1855</v>
      </c>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 customHeight="1" thickTop="1" x14ac:dyDescent="0.25">
      <c r="B15" s="1090" t="s">
        <v>2</v>
      </c>
      <c r="C15" s="87"/>
      <c r="D15" s="1036" t="s">
        <v>336</v>
      </c>
      <c r="E15" s="1037"/>
      <c r="F15" s="1037"/>
      <c r="G15" s="1037"/>
      <c r="H15" s="1037"/>
      <c r="I15" s="1037"/>
      <c r="J15" s="1037"/>
      <c r="K15" s="1037"/>
      <c r="L15" s="1133"/>
    </row>
    <row r="16" spans="1:21" ht="15.75" thickBot="1" x14ac:dyDescent="0.3">
      <c r="B16" s="1064"/>
      <c r="C16" s="90"/>
      <c r="D16" s="1165" t="s">
        <v>753</v>
      </c>
      <c r="E16" s="1166"/>
      <c r="F16" s="1166"/>
      <c r="G16" s="1166"/>
      <c r="H16" s="1166"/>
      <c r="I16" s="1166"/>
      <c r="J16" s="1166"/>
      <c r="K16" s="1166"/>
      <c r="L16" s="1185"/>
    </row>
    <row r="17" spans="2:12" ht="15.75" thickBot="1" x14ac:dyDescent="0.3">
      <c r="B17" s="1064"/>
      <c r="C17" s="88" t="s">
        <v>19</v>
      </c>
      <c r="D17" s="38" t="s">
        <v>253</v>
      </c>
      <c r="E17" s="38" t="s">
        <v>20</v>
      </c>
      <c r="F17" s="38" t="s">
        <v>21</v>
      </c>
      <c r="G17" s="38" t="s">
        <v>22</v>
      </c>
      <c r="H17" s="38" t="s">
        <v>23</v>
      </c>
      <c r="I17" s="38" t="s">
        <v>254</v>
      </c>
      <c r="J17" s="5"/>
      <c r="L17" s="21"/>
    </row>
    <row r="18" spans="2:12" ht="24.75" thickBot="1" x14ac:dyDescent="0.3">
      <c r="B18" s="1064"/>
      <c r="C18" s="89" t="s">
        <v>152</v>
      </c>
      <c r="D18" s="40" t="s">
        <v>766</v>
      </c>
      <c r="E18" s="6">
        <v>4</v>
      </c>
      <c r="F18" s="6">
        <v>4</v>
      </c>
      <c r="G18" s="6">
        <v>4</v>
      </c>
      <c r="H18" s="6">
        <v>4</v>
      </c>
      <c r="I18" s="142">
        <f>SUM(E18:H18)</f>
        <v>16</v>
      </c>
      <c r="J18" s="5"/>
      <c r="L18" s="21"/>
    </row>
    <row r="19" spans="2:12" x14ac:dyDescent="0.25">
      <c r="B19" s="1064"/>
      <c r="C19" s="90"/>
      <c r="D19" s="1027"/>
      <c r="E19" s="1028"/>
      <c r="F19" s="1028"/>
      <c r="G19" s="1028"/>
      <c r="H19" s="1028"/>
      <c r="I19" s="1028"/>
      <c r="J19" s="1028"/>
      <c r="K19" s="1028"/>
      <c r="L19" s="1118"/>
    </row>
    <row r="20" spans="2:12" ht="15.75" thickBot="1" x14ac:dyDescent="0.3">
      <c r="B20" s="216"/>
      <c r="C20" s="90"/>
      <c r="D20" s="1027" t="s">
        <v>767</v>
      </c>
      <c r="E20" s="1028"/>
      <c r="F20" s="1028"/>
      <c r="G20" s="1028"/>
      <c r="H20" s="1028"/>
      <c r="I20" s="1028"/>
      <c r="J20" s="1028"/>
      <c r="K20" s="1028"/>
      <c r="L20" s="1118"/>
    </row>
    <row r="21" spans="2:12" ht="15.75" thickBot="1" x14ac:dyDescent="0.3">
      <c r="B21" s="216"/>
      <c r="C21" s="1093" t="s">
        <v>19</v>
      </c>
      <c r="D21" s="1045" t="s">
        <v>270</v>
      </c>
      <c r="E21" s="1045" t="s">
        <v>619</v>
      </c>
      <c r="F21" s="1187" t="s">
        <v>620</v>
      </c>
      <c r="G21" s="1188"/>
      <c r="H21" s="1188"/>
      <c r="I21" s="1188"/>
      <c r="J21" s="1189"/>
      <c r="L21" s="21"/>
    </row>
    <row r="22" spans="2:12" ht="36.75" thickBot="1" x14ac:dyDescent="0.3">
      <c r="B22" s="216"/>
      <c r="C22" s="1094"/>
      <c r="D22" s="1047"/>
      <c r="E22" s="1047"/>
      <c r="F22" s="40" t="s">
        <v>621</v>
      </c>
      <c r="G22" s="40" t="s">
        <v>622</v>
      </c>
      <c r="H22" s="40" t="s">
        <v>623</v>
      </c>
      <c r="I22" s="40" t="s">
        <v>624</v>
      </c>
      <c r="J22" s="40" t="s">
        <v>55</v>
      </c>
      <c r="L22" s="21"/>
    </row>
    <row r="23" spans="2:12" ht="108" customHeight="1" thickBot="1" x14ac:dyDescent="0.3">
      <c r="B23" s="216"/>
      <c r="C23" s="126"/>
      <c r="D23" s="29" t="s">
        <v>1809</v>
      </c>
      <c r="E23" s="43" t="s">
        <v>768</v>
      </c>
      <c r="F23" s="212">
        <v>0.5</v>
      </c>
      <c r="G23" s="212">
        <v>1</v>
      </c>
      <c r="H23" s="212">
        <v>0.25</v>
      </c>
      <c r="I23" s="146">
        <f>+G23*H23</f>
        <v>0.25</v>
      </c>
      <c r="J23" s="29" t="s">
        <v>1805</v>
      </c>
      <c r="L23" s="21"/>
    </row>
    <row r="24" spans="2:12" ht="36.75" thickBot="1" x14ac:dyDescent="0.3">
      <c r="B24" s="216"/>
      <c r="C24" s="126"/>
      <c r="D24" s="29" t="s">
        <v>1204</v>
      </c>
      <c r="E24" s="43" t="s">
        <v>769</v>
      </c>
      <c r="F24" s="212"/>
      <c r="G24" s="212"/>
      <c r="H24" s="212"/>
      <c r="I24" s="146">
        <f t="shared" ref="I24:I29" si="0">+G24*H24</f>
        <v>0</v>
      </c>
      <c r="J24" s="30"/>
      <c r="L24" s="21"/>
    </row>
    <row r="25" spans="2:12" ht="84.2" customHeight="1" thickBot="1" x14ac:dyDescent="0.3">
      <c r="B25" s="216"/>
      <c r="C25" s="126"/>
      <c r="D25" s="29" t="s">
        <v>1810</v>
      </c>
      <c r="E25" s="43" t="s">
        <v>770</v>
      </c>
      <c r="F25" s="212">
        <v>0.5</v>
      </c>
      <c r="G25" s="212">
        <v>1</v>
      </c>
      <c r="H25" s="212">
        <v>0.25</v>
      </c>
      <c r="I25" s="146">
        <f t="shared" si="0"/>
        <v>0.25</v>
      </c>
      <c r="J25" s="29" t="s">
        <v>1806</v>
      </c>
      <c r="L25" s="21"/>
    </row>
    <row r="26" spans="2:12" ht="105" customHeight="1" thickBot="1" x14ac:dyDescent="0.3">
      <c r="B26" s="216"/>
      <c r="C26" s="126"/>
      <c r="D26" s="29" t="s">
        <v>1810</v>
      </c>
      <c r="E26" s="43" t="s">
        <v>1807</v>
      </c>
      <c r="F26" s="212">
        <v>0.5</v>
      </c>
      <c r="G26" s="212">
        <v>1</v>
      </c>
      <c r="H26" s="212">
        <v>0.25</v>
      </c>
      <c r="I26" s="146">
        <f t="shared" si="0"/>
        <v>0.25</v>
      </c>
      <c r="J26" s="29" t="s">
        <v>1812</v>
      </c>
      <c r="L26" s="21"/>
    </row>
    <row r="27" spans="2:12" ht="103.7" customHeight="1" thickBot="1" x14ac:dyDescent="0.3">
      <c r="B27" s="216"/>
      <c r="C27" s="126"/>
      <c r="D27" s="29" t="s">
        <v>1811</v>
      </c>
      <c r="E27" s="43" t="s">
        <v>771</v>
      </c>
      <c r="F27" s="212">
        <v>0.5</v>
      </c>
      <c r="G27" s="212">
        <v>1</v>
      </c>
      <c r="H27" s="212">
        <v>0.25</v>
      </c>
      <c r="I27" s="146">
        <f t="shared" si="0"/>
        <v>0.25</v>
      </c>
      <c r="J27" s="29" t="s">
        <v>2056</v>
      </c>
      <c r="L27" s="21"/>
    </row>
    <row r="28" spans="2:12" ht="24.75" thickBot="1" x14ac:dyDescent="0.3">
      <c r="B28" s="216"/>
      <c r="C28" s="126"/>
      <c r="D28" s="29" t="s">
        <v>1809</v>
      </c>
      <c r="E28" s="43" t="s">
        <v>772</v>
      </c>
      <c r="F28" s="212"/>
      <c r="G28" s="212"/>
      <c r="H28" s="212"/>
      <c r="I28" s="146">
        <f t="shared" si="0"/>
        <v>0</v>
      </c>
      <c r="J28" s="30"/>
      <c r="L28" s="21"/>
    </row>
    <row r="29" spans="2:12" ht="24.75" thickBot="1" x14ac:dyDescent="0.3">
      <c r="B29" s="216"/>
      <c r="C29" s="126"/>
      <c r="D29" s="29" t="s">
        <v>1809</v>
      </c>
      <c r="E29" s="43" t="s">
        <v>1808</v>
      </c>
      <c r="F29" s="212"/>
      <c r="G29" s="212"/>
      <c r="H29" s="212"/>
      <c r="I29" s="146">
        <f t="shared" si="0"/>
        <v>0</v>
      </c>
      <c r="J29" s="30"/>
      <c r="L29" s="21"/>
    </row>
    <row r="30" spans="2:12" ht="15.75" thickBot="1" x14ac:dyDescent="0.3">
      <c r="B30" s="216"/>
      <c r="C30" s="92"/>
      <c r="D30" s="39"/>
      <c r="E30" s="39" t="s">
        <v>151</v>
      </c>
      <c r="F30" s="39"/>
      <c r="G30" s="39"/>
      <c r="H30" s="194">
        <f>Formulas!$D$23</f>
        <v>1</v>
      </c>
      <c r="I30" s="146">
        <f>Formulas!$E$23</f>
        <v>1</v>
      </c>
      <c r="J30" s="30"/>
      <c r="L30" s="21"/>
    </row>
    <row r="31" spans="2:12" x14ac:dyDescent="0.25">
      <c r="B31" s="216"/>
      <c r="C31" s="90"/>
      <c r="D31" s="1027" t="s">
        <v>630</v>
      </c>
      <c r="E31" s="1028"/>
      <c r="F31" s="1028"/>
      <c r="G31" s="1028"/>
      <c r="H31" s="1028"/>
      <c r="I31" s="1028"/>
      <c r="J31" s="1028"/>
      <c r="K31" s="1028"/>
      <c r="L31" s="1118"/>
    </row>
    <row r="32" spans="2:12" x14ac:dyDescent="0.25">
      <c r="B32" s="216"/>
      <c r="C32" s="90"/>
      <c r="D32" s="1039" t="s">
        <v>246</v>
      </c>
      <c r="E32" s="1040"/>
      <c r="F32" s="1040"/>
      <c r="G32" s="1040"/>
      <c r="H32" s="1040"/>
      <c r="I32" s="1040"/>
      <c r="J32" s="1040"/>
      <c r="K32" s="1040"/>
      <c r="L32" s="1119"/>
    </row>
    <row r="33" spans="2:12" ht="15.75" thickBot="1" x14ac:dyDescent="0.3">
      <c r="B33" s="216"/>
      <c r="C33" s="90"/>
      <c r="D33" s="1030" t="s">
        <v>773</v>
      </c>
      <c r="E33" s="1031"/>
      <c r="F33" s="1031"/>
      <c r="G33" s="1031"/>
      <c r="H33" s="1031"/>
      <c r="I33" s="1031"/>
      <c r="J33" s="1031"/>
      <c r="K33" s="1031"/>
      <c r="L33" s="1186"/>
    </row>
    <row r="34" spans="2:12" ht="15.75" thickBot="1" x14ac:dyDescent="0.3">
      <c r="B34" s="216"/>
      <c r="C34" s="1093" t="s">
        <v>19</v>
      </c>
      <c r="D34" s="1149" t="s">
        <v>270</v>
      </c>
      <c r="E34" s="1149" t="s">
        <v>619</v>
      </c>
      <c r="F34" s="1187" t="s">
        <v>693</v>
      </c>
      <c r="G34" s="1188"/>
      <c r="H34" s="1188"/>
      <c r="I34" s="1188"/>
      <c r="J34" s="1188"/>
      <c r="K34" s="1189"/>
      <c r="L34" s="115"/>
    </row>
    <row r="35" spans="2:12" ht="23.25" thickBot="1" x14ac:dyDescent="0.3">
      <c r="B35" s="216"/>
      <c r="C35" s="1094"/>
      <c r="D35" s="1151"/>
      <c r="E35" s="1151"/>
      <c r="F35" s="64" t="s">
        <v>774</v>
      </c>
      <c r="G35" s="65" t="s">
        <v>344</v>
      </c>
      <c r="H35" s="65" t="s">
        <v>274</v>
      </c>
      <c r="I35" s="65" t="s">
        <v>275</v>
      </c>
      <c r="J35" s="65" t="s">
        <v>775</v>
      </c>
      <c r="K35" s="65" t="s">
        <v>776</v>
      </c>
      <c r="L35" s="11"/>
    </row>
    <row r="36" spans="2:12" ht="24.75" thickBot="1" x14ac:dyDescent="0.3">
      <c r="B36" s="216"/>
      <c r="C36" s="341"/>
      <c r="D36" s="158" t="str">
        <f t="shared" ref="D36:E42" si="1">+D23</f>
        <v>Autoridad Ambiental y Administración de los Recursos Naturales</v>
      </c>
      <c r="E36" s="338" t="str">
        <f t="shared" si="1"/>
        <v>Planificación y ordenamiento ambiental en áreas urbanas</v>
      </c>
      <c r="F36" s="342"/>
      <c r="G36" s="343"/>
      <c r="H36" s="344"/>
      <c r="I36" s="343"/>
      <c r="J36" s="141" t="e">
        <f>+H36/G36</f>
        <v>#DIV/0!</v>
      </c>
      <c r="K36" s="141" t="e">
        <f>+I36/H36</f>
        <v>#DIV/0!</v>
      </c>
      <c r="L36" s="11"/>
    </row>
    <row r="37" spans="2:12" ht="36.75" thickBot="1" x14ac:dyDescent="0.3">
      <c r="B37" s="216"/>
      <c r="C37" s="270"/>
      <c r="D37" s="158" t="str">
        <f t="shared" si="1"/>
        <v>Identificar, prevenir y mitigar amenazas y vulnerabilidades de origen natural, socio natural y antrópico</v>
      </c>
      <c r="E37" s="338" t="str">
        <f t="shared" si="1"/>
        <v>Gestión ambiental del Espacio Público en áreas urbanas</v>
      </c>
      <c r="F37" s="342"/>
      <c r="G37" s="343"/>
      <c r="H37" s="344"/>
      <c r="I37" s="343"/>
      <c r="J37" s="141" t="e">
        <f t="shared" ref="J37:J43" si="2">+H37/G37</f>
        <v>#DIV/0!</v>
      </c>
      <c r="K37" s="141" t="e">
        <f t="shared" ref="K37:K43" si="3">+I37/H37</f>
        <v>#DIV/0!</v>
      </c>
      <c r="L37" s="11"/>
    </row>
    <row r="38" spans="2:12" ht="36.75" thickBot="1" x14ac:dyDescent="0.3">
      <c r="B38" s="216"/>
      <c r="C38" s="270"/>
      <c r="D38" s="158" t="str">
        <f t="shared" si="1"/>
        <v>Gestión Integral de la Calidad del Aire</v>
      </c>
      <c r="E38" s="338" t="str">
        <f t="shared" si="1"/>
        <v xml:space="preserve">Prevención y Control de la Contaminación del Aire en áreas urbanas </v>
      </c>
      <c r="F38" s="342">
        <v>986652878</v>
      </c>
      <c r="G38" s="343">
        <v>1285498071</v>
      </c>
      <c r="H38" s="344">
        <v>1075218155</v>
      </c>
      <c r="I38" s="343">
        <v>826938846</v>
      </c>
      <c r="J38" s="141">
        <f t="shared" si="2"/>
        <v>0.83642144570748256</v>
      </c>
      <c r="K38" s="141">
        <f t="shared" si="3"/>
        <v>0.76908936307906739</v>
      </c>
      <c r="L38" s="11"/>
    </row>
    <row r="39" spans="2:12" ht="96.75" thickBot="1" x14ac:dyDescent="0.3">
      <c r="B39" s="216"/>
      <c r="C39" s="270"/>
      <c r="D39" s="158" t="str">
        <f t="shared" si="1"/>
        <v>Gestión Integral de la Calidad del Aire</v>
      </c>
      <c r="E39" s="338" t="str">
        <f t="shared" si="1"/>
        <v>Fortalecer las mesas regionales de calidad del aire donde se establezca la articulación entre las diferentes
entidades relacionadas con la prevención y el control de la contaminación del aire.</v>
      </c>
      <c r="F39" s="342"/>
      <c r="G39" s="343"/>
      <c r="H39" s="344"/>
      <c r="I39" s="343"/>
      <c r="J39" s="141" t="e">
        <f t="shared" si="2"/>
        <v>#DIV/0!</v>
      </c>
      <c r="K39" s="141" t="e">
        <f t="shared" si="3"/>
        <v>#DIV/0!</v>
      </c>
      <c r="L39" s="11"/>
    </row>
    <row r="40" spans="2:12" ht="23.1" customHeight="1" thickBot="1" x14ac:dyDescent="0.3">
      <c r="B40" s="216"/>
      <c r="C40" s="270"/>
      <c r="D40" s="158" t="str">
        <f t="shared" si="1"/>
        <v>Implementación de la Política Ambiental para la Gestión Integral de Residuos o Desechos Peligrosos</v>
      </c>
      <c r="E40" s="338" t="str">
        <f t="shared" si="1"/>
        <v>Gestión de Residuos sólidos en áreas urbanas</v>
      </c>
      <c r="F40" s="205">
        <v>50000000</v>
      </c>
      <c r="G40" s="205">
        <v>50000000</v>
      </c>
      <c r="H40" s="205"/>
      <c r="I40" s="343"/>
      <c r="J40" s="141">
        <f t="shared" si="2"/>
        <v>0</v>
      </c>
      <c r="K40" s="141" t="e">
        <f t="shared" si="3"/>
        <v>#DIV/0!</v>
      </c>
      <c r="L40" s="11"/>
    </row>
    <row r="41" spans="2:12" ht="24.75" thickBot="1" x14ac:dyDescent="0.3">
      <c r="B41" s="216"/>
      <c r="C41" s="270"/>
      <c r="D41" s="158" t="str">
        <f t="shared" si="1"/>
        <v>Autoridad Ambiental y Administración de los Recursos Naturales</v>
      </c>
      <c r="E41" s="338" t="str">
        <f t="shared" si="1"/>
        <v>Índice de calidad ambiental urbana</v>
      </c>
      <c r="F41" s="342"/>
      <c r="G41" s="343"/>
      <c r="H41" s="344"/>
      <c r="I41" s="343"/>
      <c r="J41" s="141" t="e">
        <f t="shared" si="2"/>
        <v>#DIV/0!</v>
      </c>
      <c r="K41" s="141" t="e">
        <f t="shared" si="3"/>
        <v>#DIV/0!</v>
      </c>
      <c r="L41" s="11"/>
    </row>
    <row r="42" spans="2:12" ht="24.75" thickBot="1" x14ac:dyDescent="0.3">
      <c r="B42" s="216"/>
      <c r="C42" s="270"/>
      <c r="D42" s="158" t="str">
        <f t="shared" si="1"/>
        <v>Autoridad Ambiental y Administración de los Recursos Naturales</v>
      </c>
      <c r="E42" s="338" t="str">
        <f t="shared" si="1"/>
        <v>Participación en gestión ambiental urbana</v>
      </c>
      <c r="F42" s="342"/>
      <c r="G42" s="343"/>
      <c r="H42" s="344"/>
      <c r="I42" s="343"/>
      <c r="J42" s="141" t="e">
        <f t="shared" si="2"/>
        <v>#DIV/0!</v>
      </c>
      <c r="K42" s="141" t="e">
        <f t="shared" si="3"/>
        <v>#DIV/0!</v>
      </c>
      <c r="L42" s="11"/>
    </row>
    <row r="43" spans="2:12" ht="15.75" thickBot="1" x14ac:dyDescent="0.3">
      <c r="B43" s="216"/>
      <c r="C43" s="99"/>
      <c r="D43" s="1"/>
      <c r="E43" s="44" t="s">
        <v>151</v>
      </c>
      <c r="F43" s="1"/>
      <c r="G43" s="133">
        <f>SUM(G36:G42)</f>
        <v>1335498071</v>
      </c>
      <c r="H43" s="133">
        <f>SUM(H36:H42)</f>
        <v>1075218155</v>
      </c>
      <c r="I43" s="133">
        <f>SUM(I36:I42)</f>
        <v>826938846</v>
      </c>
      <c r="J43" s="141">
        <f t="shared" si="2"/>
        <v>0.80510648300292453</v>
      </c>
      <c r="K43" s="141">
        <f t="shared" si="3"/>
        <v>0.76908936307906739</v>
      </c>
      <c r="L43" s="116"/>
    </row>
    <row r="44" spans="2:12" ht="15.75" thickBot="1" x14ac:dyDescent="0.3">
      <c r="B44" s="46"/>
      <c r="C44" s="91"/>
      <c r="D44" s="1051" t="s">
        <v>630</v>
      </c>
      <c r="E44" s="1052"/>
      <c r="F44" s="1052"/>
      <c r="G44" s="1052"/>
      <c r="H44" s="1052"/>
      <c r="I44" s="1052"/>
      <c r="J44" s="1052"/>
      <c r="K44" s="1052"/>
      <c r="L44" s="1120"/>
    </row>
    <row r="45" spans="2:12" ht="15.75" thickBot="1" x14ac:dyDescent="0.3">
      <c r="B45" s="37"/>
      <c r="C45" s="86"/>
      <c r="D45" s="5"/>
      <c r="E45" s="5"/>
      <c r="F45" s="5"/>
      <c r="G45" s="5"/>
      <c r="H45" s="5"/>
      <c r="I45" s="5"/>
      <c r="J45" s="5"/>
      <c r="K45" s="5"/>
    </row>
    <row r="46" spans="2:12" ht="72.75" thickBot="1" x14ac:dyDescent="0.3">
      <c r="B46" s="51" t="s">
        <v>34</v>
      </c>
      <c r="C46" s="96"/>
      <c r="D46" s="42" t="s">
        <v>777</v>
      </c>
      <c r="E46" s="5"/>
      <c r="F46" s="5"/>
      <c r="G46" s="5"/>
      <c r="H46" s="5"/>
      <c r="I46" s="5"/>
      <c r="J46" s="5"/>
      <c r="K46" s="5"/>
    </row>
    <row r="47" spans="2:12" ht="60.75" thickBot="1" x14ac:dyDescent="0.3">
      <c r="B47" s="51" t="s">
        <v>36</v>
      </c>
      <c r="C47" s="201"/>
      <c r="D47" s="51" t="s">
        <v>346</v>
      </c>
      <c r="E47" s="5"/>
      <c r="F47" s="5"/>
      <c r="G47" s="5"/>
      <c r="H47" s="5"/>
      <c r="I47" s="5"/>
      <c r="J47" s="5"/>
      <c r="K47" s="5"/>
    </row>
    <row r="48" spans="2:12" ht="15.75" thickBot="1" x14ac:dyDescent="0.3">
      <c r="B48" s="1"/>
      <c r="C48" s="74"/>
      <c r="D48" s="5"/>
      <c r="E48" s="5"/>
      <c r="F48" s="5"/>
      <c r="G48" s="5"/>
      <c r="H48" s="5"/>
      <c r="I48" s="5"/>
      <c r="J48" s="5"/>
      <c r="K48" s="5"/>
    </row>
    <row r="49" spans="2:11" ht="24" customHeight="1" thickBot="1" x14ac:dyDescent="0.3">
      <c r="B49" s="1054" t="s">
        <v>38</v>
      </c>
      <c r="C49" s="1055"/>
      <c r="D49" s="1055"/>
      <c r="E49" s="1056"/>
      <c r="F49" s="5"/>
      <c r="G49" s="5"/>
      <c r="H49" s="5"/>
      <c r="I49" s="5"/>
      <c r="J49" s="5"/>
      <c r="K49" s="5"/>
    </row>
    <row r="50" spans="2:11" ht="15.75" thickBot="1" x14ac:dyDescent="0.3">
      <c r="B50" s="1045">
        <v>1</v>
      </c>
      <c r="C50" s="92"/>
      <c r="D50" s="47" t="s">
        <v>39</v>
      </c>
      <c r="E50" s="30" t="s">
        <v>1771</v>
      </c>
      <c r="F50" s="5"/>
      <c r="G50" s="5"/>
      <c r="H50" s="5"/>
      <c r="I50" s="5"/>
      <c r="J50" s="5"/>
      <c r="K50" s="5"/>
    </row>
    <row r="51" spans="2:11" ht="15.75" thickBot="1" x14ac:dyDescent="0.3">
      <c r="B51" s="1046"/>
      <c r="C51" s="92"/>
      <c r="D51" s="40" t="s">
        <v>40</v>
      </c>
      <c r="E51" s="30" t="s">
        <v>1776</v>
      </c>
      <c r="F51" s="5"/>
      <c r="G51" s="5"/>
      <c r="H51" s="5"/>
      <c r="I51" s="5"/>
      <c r="J51" s="5"/>
      <c r="K51" s="5"/>
    </row>
    <row r="52" spans="2:11" ht="15.75" thickBot="1" x14ac:dyDescent="0.3">
      <c r="B52" s="1046"/>
      <c r="C52" s="92"/>
      <c r="D52" s="40" t="s">
        <v>41</v>
      </c>
      <c r="E52" s="30" t="s">
        <v>1777</v>
      </c>
      <c r="F52" s="5"/>
      <c r="G52" s="5"/>
      <c r="H52" s="5"/>
      <c r="I52" s="5"/>
      <c r="J52" s="5"/>
      <c r="K52" s="5"/>
    </row>
    <row r="53" spans="2:11" ht="15.75" thickBot="1" x14ac:dyDescent="0.3">
      <c r="B53" s="1046"/>
      <c r="C53" s="92"/>
      <c r="D53" s="40" t="s">
        <v>42</v>
      </c>
      <c r="E53" s="30" t="s">
        <v>1778</v>
      </c>
      <c r="F53" s="5"/>
      <c r="G53" s="5"/>
      <c r="H53" s="5"/>
      <c r="I53" s="5"/>
      <c r="J53" s="5"/>
      <c r="K53" s="5"/>
    </row>
    <row r="54" spans="2:11" ht="15.75" thickBot="1" x14ac:dyDescent="0.3">
      <c r="B54" s="1046"/>
      <c r="C54" s="92"/>
      <c r="D54" s="40" t="s">
        <v>43</v>
      </c>
      <c r="E54" s="515" t="s">
        <v>1779</v>
      </c>
      <c r="F54" s="5"/>
      <c r="G54" s="5"/>
      <c r="H54" s="5"/>
      <c r="I54" s="5"/>
      <c r="J54" s="5"/>
      <c r="K54" s="5"/>
    </row>
    <row r="55" spans="2:11" ht="15.75" thickBot="1" x14ac:dyDescent="0.3">
      <c r="B55" s="1046"/>
      <c r="C55" s="92"/>
      <c r="D55" s="40" t="s">
        <v>44</v>
      </c>
      <c r="E55" s="30">
        <v>4380200</v>
      </c>
      <c r="F55" s="5"/>
      <c r="G55" s="5"/>
      <c r="H55" s="5"/>
      <c r="I55" s="5"/>
      <c r="J55" s="5"/>
      <c r="K55" s="5"/>
    </row>
    <row r="56" spans="2:11" ht="15.75" thickBot="1" x14ac:dyDescent="0.3">
      <c r="B56" s="1047"/>
      <c r="C56" s="2"/>
      <c r="D56" s="40" t="s">
        <v>45</v>
      </c>
      <c r="E56" s="30" t="s">
        <v>1773</v>
      </c>
      <c r="F56" s="5"/>
      <c r="G56" s="5"/>
      <c r="H56" s="5"/>
      <c r="I56" s="5"/>
      <c r="J56" s="5"/>
      <c r="K56" s="5"/>
    </row>
    <row r="57" spans="2:11" ht="15.75" thickBot="1" x14ac:dyDescent="0.3">
      <c r="B57" s="1"/>
      <c r="C57" s="74"/>
      <c r="D57" s="5"/>
      <c r="E57" s="5"/>
      <c r="F57" s="5"/>
      <c r="G57" s="5"/>
      <c r="H57" s="5"/>
      <c r="I57" s="5"/>
      <c r="J57" s="5"/>
      <c r="K57" s="5"/>
    </row>
    <row r="58" spans="2:11" ht="15.75" thickBot="1" x14ac:dyDescent="0.3">
      <c r="B58" s="1054" t="s">
        <v>46</v>
      </c>
      <c r="C58" s="1055"/>
      <c r="D58" s="1055"/>
      <c r="E58" s="1056"/>
      <c r="F58" s="5"/>
      <c r="G58" s="5"/>
      <c r="H58" s="5"/>
      <c r="I58" s="5"/>
      <c r="J58" s="5"/>
      <c r="K58" s="5"/>
    </row>
    <row r="59" spans="2:11" ht="15.75" thickBot="1" x14ac:dyDescent="0.3">
      <c r="B59" s="1045">
        <v>1</v>
      </c>
      <c r="C59" s="92"/>
      <c r="D59" s="47" t="s">
        <v>39</v>
      </c>
      <c r="E59" s="124" t="s">
        <v>47</v>
      </c>
      <c r="F59" s="5"/>
      <c r="G59" s="5"/>
      <c r="H59" s="5"/>
      <c r="I59" s="5"/>
      <c r="J59" s="5"/>
      <c r="K59" s="5"/>
    </row>
    <row r="60" spans="2:11" ht="15.75" thickBot="1" x14ac:dyDescent="0.3">
      <c r="B60" s="1046"/>
      <c r="C60" s="92"/>
      <c r="D60" s="40" t="s">
        <v>40</v>
      </c>
      <c r="E60" s="165" t="s">
        <v>160</v>
      </c>
      <c r="F60" s="5"/>
      <c r="G60" s="5"/>
      <c r="H60" s="5"/>
      <c r="I60" s="5"/>
      <c r="J60" s="5"/>
      <c r="K60" s="5"/>
    </row>
    <row r="61" spans="2:11" ht="15.75" thickBot="1" x14ac:dyDescent="0.3">
      <c r="B61" s="1046"/>
      <c r="C61" s="92"/>
      <c r="D61" s="40" t="s">
        <v>41</v>
      </c>
      <c r="E61" s="166"/>
      <c r="F61" s="5"/>
      <c r="G61" s="5"/>
      <c r="H61" s="5"/>
      <c r="I61" s="5"/>
      <c r="J61" s="5"/>
      <c r="K61" s="5"/>
    </row>
    <row r="62" spans="2:11" ht="15.75" thickBot="1" x14ac:dyDescent="0.3">
      <c r="B62" s="1046"/>
      <c r="C62" s="92"/>
      <c r="D62" s="40" t="s">
        <v>42</v>
      </c>
      <c r="E62" s="166"/>
      <c r="F62" s="5"/>
      <c r="G62" s="5"/>
      <c r="H62" s="5"/>
      <c r="I62" s="5"/>
      <c r="J62" s="5"/>
      <c r="K62" s="5"/>
    </row>
    <row r="63" spans="2:11" ht="15.75" thickBot="1" x14ac:dyDescent="0.3">
      <c r="B63" s="1046"/>
      <c r="C63" s="92"/>
      <c r="D63" s="40" t="s">
        <v>43</v>
      </c>
      <c r="E63" s="166"/>
      <c r="F63" s="5"/>
      <c r="G63" s="5"/>
      <c r="H63" s="5"/>
      <c r="I63" s="5"/>
      <c r="J63" s="5"/>
      <c r="K63" s="5"/>
    </row>
    <row r="64" spans="2:11" ht="15.75" thickBot="1" x14ac:dyDescent="0.3">
      <c r="B64" s="1046"/>
      <c r="C64" s="92"/>
      <c r="D64" s="40" t="s">
        <v>44</v>
      </c>
      <c r="E64" s="166"/>
      <c r="F64" s="5"/>
      <c r="G64" s="5"/>
      <c r="H64" s="5"/>
      <c r="I64" s="5"/>
      <c r="J64" s="5"/>
      <c r="K64" s="5"/>
    </row>
    <row r="65" spans="2:11" ht="15.75" thickBot="1" x14ac:dyDescent="0.3">
      <c r="B65" s="1047"/>
      <c r="C65" s="2"/>
      <c r="D65" s="40" t="s">
        <v>45</v>
      </c>
      <c r="E65" s="166"/>
      <c r="F65" s="5"/>
      <c r="G65" s="5"/>
      <c r="H65" s="5"/>
      <c r="I65" s="5"/>
      <c r="J65" s="5"/>
      <c r="K65" s="5"/>
    </row>
    <row r="66" spans="2:11" ht="15.75" thickBot="1" x14ac:dyDescent="0.3">
      <c r="B66" s="1"/>
      <c r="C66" s="74"/>
      <c r="D66" s="5"/>
      <c r="E66" s="5"/>
      <c r="F66" s="5"/>
      <c r="G66" s="5"/>
      <c r="H66" s="5"/>
      <c r="I66" s="5"/>
      <c r="J66" s="5"/>
      <c r="K66" s="5"/>
    </row>
    <row r="67" spans="2:11" ht="15" customHeight="1" thickBot="1" x14ac:dyDescent="0.3">
      <c r="B67" s="120" t="s">
        <v>49</v>
      </c>
      <c r="C67" s="121"/>
      <c r="D67" s="121"/>
      <c r="E67" s="122"/>
      <c r="G67" s="5"/>
      <c r="H67" s="5"/>
      <c r="I67" s="5"/>
      <c r="J67" s="5"/>
      <c r="K67" s="5"/>
    </row>
    <row r="68" spans="2:11" ht="24.75" thickBot="1" x14ac:dyDescent="0.3">
      <c r="B68" s="46" t="s">
        <v>50</v>
      </c>
      <c r="C68" s="40" t="s">
        <v>51</v>
      </c>
      <c r="D68" s="40" t="s">
        <v>52</v>
      </c>
      <c r="E68" s="40" t="s">
        <v>53</v>
      </c>
      <c r="F68" s="5"/>
      <c r="G68" s="5"/>
      <c r="H68" s="5"/>
      <c r="I68" s="5"/>
      <c r="J68" s="5"/>
    </row>
    <row r="69" spans="2:11" ht="72.75" thickBot="1" x14ac:dyDescent="0.3">
      <c r="B69" s="48">
        <v>42401</v>
      </c>
      <c r="C69" s="40">
        <v>1</v>
      </c>
      <c r="D69" s="40" t="s">
        <v>778</v>
      </c>
      <c r="E69" s="40"/>
      <c r="F69" s="5"/>
      <c r="G69" s="5"/>
      <c r="H69" s="5"/>
      <c r="I69" s="5"/>
      <c r="J69" s="5"/>
    </row>
    <row r="70" spans="2:11" ht="15.75" thickBot="1" x14ac:dyDescent="0.3">
      <c r="B70" s="3"/>
      <c r="C70" s="93"/>
      <c r="D70" s="5"/>
      <c r="E70" s="5"/>
      <c r="F70" s="5"/>
      <c r="G70" s="5"/>
      <c r="H70" s="5"/>
      <c r="I70" s="5"/>
      <c r="J70" s="5"/>
      <c r="K70" s="5"/>
    </row>
    <row r="71" spans="2:11" ht="15.75" thickBot="1" x14ac:dyDescent="0.3">
      <c r="B71" s="127" t="s">
        <v>55</v>
      </c>
      <c r="C71" s="94"/>
      <c r="D71" s="5"/>
      <c r="E71" s="5"/>
      <c r="F71" s="5"/>
      <c r="G71" s="5"/>
      <c r="H71" s="5"/>
      <c r="I71" s="5"/>
      <c r="J71" s="5"/>
      <c r="K71" s="5"/>
    </row>
    <row r="72" spans="2:11" x14ac:dyDescent="0.25">
      <c r="B72" s="1190"/>
      <c r="C72" s="1191"/>
      <c r="D72" s="1191"/>
      <c r="E72" s="1192"/>
      <c r="F72" s="5"/>
      <c r="G72" s="5"/>
      <c r="H72" s="5"/>
      <c r="I72" s="5"/>
      <c r="J72" s="5"/>
      <c r="K72" s="5"/>
    </row>
    <row r="73" spans="2:11" ht="15.75" thickBot="1" x14ac:dyDescent="0.3">
      <c r="B73" s="1193"/>
      <c r="C73" s="1194"/>
      <c r="D73" s="1194"/>
      <c r="E73" s="1195"/>
      <c r="F73" s="5"/>
      <c r="G73" s="5"/>
      <c r="H73" s="5"/>
      <c r="I73" s="5"/>
      <c r="J73" s="5"/>
      <c r="K73" s="5"/>
    </row>
    <row r="74" spans="2:11" ht="15.75" thickBot="1" x14ac:dyDescent="0.3">
      <c r="B74" s="5"/>
      <c r="D74" s="5"/>
      <c r="E74" s="5"/>
      <c r="F74" s="5"/>
      <c r="G74" s="5"/>
      <c r="H74" s="5"/>
      <c r="I74" s="5"/>
      <c r="J74" s="5"/>
      <c r="K74" s="5"/>
    </row>
    <row r="75" spans="2:11" ht="15.75" thickBot="1" x14ac:dyDescent="0.3">
      <c r="B75" s="1054" t="s">
        <v>56</v>
      </c>
      <c r="C75" s="1055"/>
      <c r="D75" s="1056"/>
      <c r="E75" s="5"/>
      <c r="F75" s="5"/>
      <c r="G75" s="5"/>
      <c r="H75" s="5"/>
      <c r="I75" s="5"/>
      <c r="J75" s="5"/>
      <c r="K75" s="5"/>
    </row>
    <row r="76" spans="2:11" ht="60.75" thickBot="1" x14ac:dyDescent="0.3">
      <c r="B76" s="46" t="s">
        <v>57</v>
      </c>
      <c r="C76" s="2"/>
      <c r="D76" s="40" t="s">
        <v>705</v>
      </c>
      <c r="E76" s="5"/>
      <c r="F76" s="5"/>
      <c r="G76" s="5"/>
      <c r="H76" s="5"/>
      <c r="I76" s="5"/>
      <c r="J76" s="5"/>
      <c r="K76" s="5"/>
    </row>
    <row r="77" spans="2:11" x14ac:dyDescent="0.25">
      <c r="B77" s="1045" t="s">
        <v>59</v>
      </c>
      <c r="C77" s="92"/>
      <c r="D77" s="52" t="s">
        <v>60</v>
      </c>
      <c r="E77" s="5"/>
      <c r="F77" s="5"/>
      <c r="G77" s="5"/>
      <c r="H77" s="5"/>
      <c r="I77" s="5"/>
      <c r="J77" s="5"/>
      <c r="K77" s="5"/>
    </row>
    <row r="78" spans="2:11" ht="96" x14ac:dyDescent="0.25">
      <c r="B78" s="1046"/>
      <c r="C78" s="92"/>
      <c r="D78" s="45" t="s">
        <v>706</v>
      </c>
      <c r="E78" s="5"/>
      <c r="F78" s="5"/>
      <c r="G78" s="5"/>
      <c r="H78" s="5"/>
      <c r="I78" s="5"/>
      <c r="J78" s="5"/>
      <c r="K78" s="5"/>
    </row>
    <row r="79" spans="2:11" x14ac:dyDescent="0.25">
      <c r="B79" s="1046"/>
      <c r="C79" s="92"/>
      <c r="D79" s="52" t="s">
        <v>63</v>
      </c>
      <c r="E79" s="5"/>
      <c r="F79" s="5"/>
      <c r="G79" s="5"/>
      <c r="H79" s="5"/>
      <c r="I79" s="5"/>
      <c r="J79" s="5"/>
      <c r="K79" s="5"/>
    </row>
    <row r="80" spans="2:11" x14ac:dyDescent="0.25">
      <c r="B80" s="1046"/>
      <c r="C80" s="92"/>
      <c r="D80" s="45" t="s">
        <v>64</v>
      </c>
      <c r="E80" s="5"/>
      <c r="F80" s="5"/>
      <c r="G80" s="5"/>
      <c r="H80" s="5"/>
      <c r="I80" s="5"/>
      <c r="J80" s="5"/>
      <c r="K80" s="5"/>
    </row>
    <row r="81" spans="2:11" x14ac:dyDescent="0.25">
      <c r="B81" s="1046"/>
      <c r="C81" s="92"/>
      <c r="D81" s="45" t="s">
        <v>707</v>
      </c>
      <c r="E81" s="5"/>
      <c r="F81" s="5"/>
      <c r="G81" s="5"/>
      <c r="H81" s="5"/>
      <c r="I81" s="5"/>
      <c r="J81" s="5"/>
      <c r="K81" s="5"/>
    </row>
    <row r="82" spans="2:11" x14ac:dyDescent="0.25">
      <c r="B82" s="1046"/>
      <c r="C82" s="92"/>
      <c r="D82" s="45" t="s">
        <v>65</v>
      </c>
      <c r="E82" s="5"/>
      <c r="F82" s="5"/>
      <c r="G82" s="5"/>
      <c r="H82" s="5"/>
      <c r="I82" s="5"/>
      <c r="J82" s="5"/>
      <c r="K82" s="5"/>
    </row>
    <row r="83" spans="2:11" x14ac:dyDescent="0.25">
      <c r="B83" s="1046"/>
      <c r="C83" s="92"/>
      <c r="D83" s="45" t="s">
        <v>708</v>
      </c>
      <c r="E83" s="5"/>
      <c r="F83" s="5"/>
      <c r="G83" s="5"/>
      <c r="H83" s="5"/>
      <c r="I83" s="5"/>
      <c r="J83" s="5"/>
      <c r="K83" s="5"/>
    </row>
    <row r="84" spans="2:11" ht="24" x14ac:dyDescent="0.25">
      <c r="B84" s="1046"/>
      <c r="C84" s="92"/>
      <c r="D84" s="45" t="s">
        <v>709</v>
      </c>
      <c r="E84" s="5"/>
      <c r="F84" s="5"/>
      <c r="G84" s="5"/>
      <c r="H84" s="5"/>
      <c r="I84" s="5"/>
      <c r="J84" s="5"/>
      <c r="K84" s="5"/>
    </row>
    <row r="85" spans="2:11" x14ac:dyDescent="0.25">
      <c r="B85" s="1046"/>
      <c r="C85" s="92"/>
      <c r="D85" s="52" t="s">
        <v>288</v>
      </c>
      <c r="E85" s="5"/>
      <c r="F85" s="5"/>
      <c r="G85" s="5"/>
      <c r="H85" s="5"/>
      <c r="I85" s="5"/>
      <c r="J85" s="5"/>
      <c r="K85" s="5"/>
    </row>
    <row r="86" spans="2:11" x14ac:dyDescent="0.25">
      <c r="B86" s="1046"/>
      <c r="C86" s="92"/>
      <c r="D86" s="45" t="s">
        <v>355</v>
      </c>
      <c r="E86" s="5"/>
      <c r="F86" s="5"/>
      <c r="G86" s="5"/>
      <c r="H86" s="5"/>
      <c r="I86" s="5"/>
      <c r="J86" s="5"/>
      <c r="K86" s="5"/>
    </row>
    <row r="87" spans="2:11" x14ac:dyDescent="0.25">
      <c r="B87" s="1046"/>
      <c r="C87" s="92"/>
      <c r="D87" s="45" t="s">
        <v>710</v>
      </c>
      <c r="E87" s="5"/>
      <c r="F87" s="5"/>
      <c r="G87" s="5"/>
      <c r="H87" s="5"/>
      <c r="I87" s="5"/>
      <c r="J87" s="5"/>
      <c r="K87" s="5"/>
    </row>
    <row r="88" spans="2:11" ht="24" x14ac:dyDescent="0.25">
      <c r="B88" s="1046"/>
      <c r="C88" s="92"/>
      <c r="D88" s="45" t="s">
        <v>711</v>
      </c>
      <c r="E88" s="5"/>
      <c r="F88" s="5"/>
      <c r="G88" s="5"/>
      <c r="H88" s="5"/>
      <c r="I88" s="5"/>
      <c r="J88" s="5"/>
      <c r="K88" s="5"/>
    </row>
    <row r="89" spans="2:11" ht="24" x14ac:dyDescent="0.25">
      <c r="B89" s="1046"/>
      <c r="C89" s="92"/>
      <c r="D89" s="45" t="s">
        <v>712</v>
      </c>
      <c r="E89" s="5"/>
      <c r="F89" s="5"/>
      <c r="G89" s="5"/>
      <c r="H89" s="5"/>
      <c r="I89" s="5"/>
      <c r="J89" s="5"/>
      <c r="K89" s="5"/>
    </row>
    <row r="90" spans="2:11" ht="36" x14ac:dyDescent="0.25">
      <c r="B90" s="1046"/>
      <c r="C90" s="92"/>
      <c r="D90" s="45" t="s">
        <v>713</v>
      </c>
      <c r="E90" s="5"/>
      <c r="F90" s="5"/>
      <c r="G90" s="5"/>
      <c r="H90" s="5"/>
      <c r="I90" s="5"/>
      <c r="J90" s="5"/>
      <c r="K90" s="5"/>
    </row>
    <row r="91" spans="2:11" x14ac:dyDescent="0.25">
      <c r="B91" s="1046"/>
      <c r="C91" s="92"/>
      <c r="D91" s="45" t="s">
        <v>714</v>
      </c>
      <c r="E91" s="5"/>
      <c r="F91" s="5"/>
      <c r="G91" s="5"/>
      <c r="H91" s="5"/>
      <c r="I91" s="5"/>
      <c r="J91" s="5"/>
      <c r="K91" s="5"/>
    </row>
    <row r="92" spans="2:11" x14ac:dyDescent="0.25">
      <c r="B92" s="1046"/>
      <c r="C92" s="92"/>
      <c r="D92" s="45" t="s">
        <v>715</v>
      </c>
      <c r="E92" s="5"/>
      <c r="F92" s="5"/>
      <c r="G92" s="5"/>
      <c r="H92" s="5"/>
      <c r="I92" s="5"/>
      <c r="J92" s="5"/>
      <c r="K92" s="5"/>
    </row>
    <row r="93" spans="2:11" ht="15.75" thickBot="1" x14ac:dyDescent="0.3">
      <c r="B93" s="1047"/>
      <c r="C93" s="2"/>
      <c r="D93" s="40" t="s">
        <v>716</v>
      </c>
      <c r="E93" s="5"/>
      <c r="F93" s="5"/>
      <c r="G93" s="5"/>
      <c r="H93" s="5"/>
      <c r="I93" s="5"/>
      <c r="J93" s="5"/>
      <c r="K93" s="5"/>
    </row>
    <row r="94" spans="2:11" ht="24.75" thickBot="1" x14ac:dyDescent="0.3">
      <c r="B94" s="46" t="s">
        <v>72</v>
      </c>
      <c r="C94" s="2"/>
      <c r="D94" s="40"/>
      <c r="E94" s="5"/>
      <c r="F94" s="5"/>
      <c r="G94" s="5"/>
      <c r="H94" s="5"/>
      <c r="I94" s="5"/>
      <c r="J94" s="5"/>
      <c r="K94" s="5"/>
    </row>
    <row r="95" spans="2:11" ht="252" x14ac:dyDescent="0.25">
      <c r="B95" s="1045" t="s">
        <v>73</v>
      </c>
      <c r="C95" s="92"/>
      <c r="D95" s="45" t="s">
        <v>717</v>
      </c>
      <c r="E95" s="5"/>
      <c r="F95" s="5"/>
      <c r="G95" s="5"/>
      <c r="H95" s="5"/>
      <c r="I95" s="5"/>
      <c r="J95" s="5"/>
      <c r="K95" s="5"/>
    </row>
    <row r="96" spans="2:11" ht="24" x14ac:dyDescent="0.25">
      <c r="B96" s="1046"/>
      <c r="C96" s="92"/>
      <c r="D96" s="45" t="s">
        <v>718</v>
      </c>
      <c r="E96" s="5"/>
      <c r="F96" s="5"/>
      <c r="G96" s="5"/>
      <c r="H96" s="5"/>
      <c r="I96" s="5"/>
      <c r="J96" s="5"/>
      <c r="K96" s="5"/>
    </row>
    <row r="97" spans="2:11" ht="108" x14ac:dyDescent="0.25">
      <c r="B97" s="1046"/>
      <c r="C97" s="92"/>
      <c r="D97" s="45" t="s">
        <v>719</v>
      </c>
      <c r="E97" s="5"/>
      <c r="F97" s="5"/>
      <c r="G97" s="5"/>
      <c r="H97" s="5"/>
      <c r="I97" s="5"/>
      <c r="J97" s="5"/>
      <c r="K97" s="5"/>
    </row>
    <row r="98" spans="2:11" ht="384" x14ac:dyDescent="0.25">
      <c r="B98" s="1046"/>
      <c r="C98" s="92"/>
      <c r="D98" s="45" t="s">
        <v>720</v>
      </c>
      <c r="E98" s="5"/>
      <c r="F98" s="5"/>
      <c r="G98" s="5"/>
      <c r="H98" s="5"/>
      <c r="I98" s="5"/>
      <c r="J98" s="5"/>
      <c r="K98" s="5"/>
    </row>
    <row r="99" spans="2:11" ht="192" x14ac:dyDescent="0.25">
      <c r="B99" s="1046"/>
      <c r="C99" s="92"/>
      <c r="D99" s="45" t="s">
        <v>721</v>
      </c>
      <c r="E99" s="5"/>
      <c r="F99" s="5"/>
      <c r="G99" s="5"/>
      <c r="H99" s="5"/>
      <c r="I99" s="5"/>
      <c r="J99" s="5"/>
      <c r="K99" s="5"/>
    </row>
    <row r="100" spans="2:11" ht="72" x14ac:dyDescent="0.25">
      <c r="B100" s="1046"/>
      <c r="C100" s="92"/>
      <c r="D100" s="45" t="s">
        <v>722</v>
      </c>
      <c r="E100" s="5"/>
      <c r="F100" s="5"/>
      <c r="G100" s="5"/>
      <c r="H100" s="5"/>
      <c r="I100" s="5"/>
      <c r="J100" s="5"/>
      <c r="K100" s="5"/>
    </row>
    <row r="101" spans="2:11" ht="24" x14ac:dyDescent="0.25">
      <c r="B101" s="1046"/>
      <c r="C101" s="92"/>
      <c r="D101" s="45" t="s">
        <v>723</v>
      </c>
      <c r="E101" s="5"/>
      <c r="F101" s="5"/>
      <c r="G101" s="5"/>
      <c r="H101" s="5"/>
      <c r="I101" s="5"/>
      <c r="J101" s="5"/>
      <c r="K101" s="5"/>
    </row>
    <row r="102" spans="2:11" ht="24" x14ac:dyDescent="0.25">
      <c r="B102" s="1046"/>
      <c r="C102" s="92"/>
      <c r="D102" s="45" t="s">
        <v>724</v>
      </c>
      <c r="E102" s="5"/>
      <c r="F102" s="5"/>
      <c r="G102" s="5"/>
      <c r="H102" s="5"/>
      <c r="I102" s="5"/>
      <c r="J102" s="5"/>
      <c r="K102" s="5"/>
    </row>
    <row r="103" spans="2:11" ht="24" x14ac:dyDescent="0.25">
      <c r="B103" s="1046"/>
      <c r="C103" s="92"/>
      <c r="D103" s="45" t="s">
        <v>725</v>
      </c>
      <c r="E103" s="5"/>
      <c r="F103" s="5"/>
      <c r="G103" s="5"/>
      <c r="H103" s="5"/>
      <c r="I103" s="5"/>
      <c r="J103" s="5"/>
      <c r="K103" s="5"/>
    </row>
    <row r="104" spans="2:11" ht="84" x14ac:dyDescent="0.25">
      <c r="B104" s="1046"/>
      <c r="C104" s="92"/>
      <c r="D104" s="45" t="s">
        <v>726</v>
      </c>
      <c r="E104" s="5"/>
      <c r="F104" s="5"/>
      <c r="G104" s="5"/>
      <c r="H104" s="5"/>
      <c r="I104" s="5"/>
      <c r="J104" s="5"/>
      <c r="K104" s="5"/>
    </row>
    <row r="105" spans="2:11" ht="24" x14ac:dyDescent="0.25">
      <c r="B105" s="1046"/>
      <c r="C105" s="92"/>
      <c r="D105" s="45" t="s">
        <v>727</v>
      </c>
      <c r="E105" s="5"/>
      <c r="F105" s="5"/>
      <c r="G105" s="5"/>
      <c r="H105" s="5"/>
      <c r="I105" s="5"/>
      <c r="J105" s="5"/>
      <c r="K105" s="5"/>
    </row>
    <row r="106" spans="2:11" ht="24" x14ac:dyDescent="0.25">
      <c r="B106" s="1046"/>
      <c r="C106" s="92"/>
      <c r="D106" s="45" t="s">
        <v>728</v>
      </c>
      <c r="E106" s="5"/>
      <c r="F106" s="5"/>
      <c r="G106" s="5"/>
      <c r="H106" s="5"/>
      <c r="I106" s="5"/>
      <c r="J106" s="5"/>
      <c r="K106" s="5"/>
    </row>
    <row r="107" spans="2:11" x14ac:dyDescent="0.25">
      <c r="B107" s="1046"/>
      <c r="C107" s="92"/>
      <c r="D107" s="45" t="s">
        <v>729</v>
      </c>
      <c r="E107" s="5"/>
      <c r="F107" s="5"/>
      <c r="G107" s="5"/>
      <c r="H107" s="5"/>
      <c r="I107" s="5"/>
      <c r="J107" s="5"/>
      <c r="K107" s="5"/>
    </row>
    <row r="108" spans="2:11" ht="24" x14ac:dyDescent="0.25">
      <c r="B108" s="1046"/>
      <c r="C108" s="92"/>
      <c r="D108" s="45" t="s">
        <v>730</v>
      </c>
      <c r="E108" s="5"/>
      <c r="F108" s="5"/>
      <c r="G108" s="5"/>
      <c r="H108" s="5"/>
      <c r="I108" s="5"/>
      <c r="J108" s="5"/>
      <c r="K108" s="5"/>
    </row>
    <row r="109" spans="2:11" ht="36" x14ac:dyDescent="0.25">
      <c r="B109" s="1046"/>
      <c r="C109" s="92"/>
      <c r="D109" s="45" t="s">
        <v>731</v>
      </c>
      <c r="E109" s="5"/>
      <c r="F109" s="5"/>
      <c r="G109" s="5"/>
      <c r="H109" s="5"/>
      <c r="I109" s="5"/>
      <c r="J109" s="5"/>
      <c r="K109" s="5"/>
    </row>
    <row r="110" spans="2:11" ht="24" x14ac:dyDescent="0.25">
      <c r="B110" s="1046"/>
      <c r="C110" s="92"/>
      <c r="D110" s="45" t="s">
        <v>732</v>
      </c>
      <c r="E110" s="5"/>
      <c r="F110" s="5"/>
      <c r="G110" s="5"/>
      <c r="H110" s="5"/>
      <c r="I110" s="5"/>
      <c r="J110" s="5"/>
      <c r="K110" s="5"/>
    </row>
    <row r="111" spans="2:11" ht="24" x14ac:dyDescent="0.25">
      <c r="B111" s="1046"/>
      <c r="C111" s="92"/>
      <c r="D111" s="45" t="s">
        <v>733</v>
      </c>
      <c r="E111" s="5"/>
      <c r="F111" s="5"/>
      <c r="G111" s="5"/>
      <c r="H111" s="5"/>
      <c r="I111" s="5"/>
      <c r="J111" s="5"/>
      <c r="K111" s="5"/>
    </row>
    <row r="112" spans="2:11" ht="72" x14ac:dyDescent="0.25">
      <c r="B112" s="1046"/>
      <c r="C112" s="92"/>
      <c r="D112" s="45" t="s">
        <v>734</v>
      </c>
      <c r="E112" s="5"/>
      <c r="F112" s="5"/>
      <c r="G112" s="5"/>
      <c r="H112" s="5"/>
      <c r="I112" s="5"/>
      <c r="J112" s="5"/>
      <c r="K112" s="5"/>
    </row>
    <row r="113" spans="2:11" ht="48" x14ac:dyDescent="0.25">
      <c r="B113" s="1046"/>
      <c r="C113" s="92"/>
      <c r="D113" s="45" t="s">
        <v>735</v>
      </c>
      <c r="E113" s="5"/>
      <c r="F113" s="5"/>
      <c r="G113" s="5"/>
      <c r="H113" s="5"/>
      <c r="I113" s="5"/>
      <c r="J113" s="5"/>
      <c r="K113" s="5"/>
    </row>
    <row r="114" spans="2:11" ht="48" x14ac:dyDescent="0.25">
      <c r="B114" s="1046"/>
      <c r="C114" s="92"/>
      <c r="D114" s="45" t="s">
        <v>736</v>
      </c>
      <c r="E114" s="5"/>
      <c r="F114" s="5"/>
      <c r="G114" s="5"/>
      <c r="H114" s="5"/>
      <c r="I114" s="5"/>
      <c r="J114" s="5"/>
      <c r="K114" s="5"/>
    </row>
    <row r="115" spans="2:11" ht="36" x14ac:dyDescent="0.25">
      <c r="B115" s="1046"/>
      <c r="C115" s="92"/>
      <c r="D115" s="45" t="s">
        <v>737</v>
      </c>
      <c r="E115" s="5"/>
      <c r="F115" s="5"/>
      <c r="G115" s="5"/>
      <c r="H115" s="5"/>
      <c r="I115" s="5"/>
      <c r="J115" s="5"/>
      <c r="K115" s="5"/>
    </row>
    <row r="116" spans="2:11" ht="24" x14ac:dyDescent="0.25">
      <c r="B116" s="1046"/>
      <c r="C116" s="92"/>
      <c r="D116" s="45" t="s">
        <v>738</v>
      </c>
      <c r="E116" s="5"/>
      <c r="F116" s="5"/>
      <c r="G116" s="5"/>
      <c r="H116" s="5"/>
      <c r="I116" s="5"/>
      <c r="J116" s="5"/>
      <c r="K116" s="5"/>
    </row>
    <row r="117" spans="2:11" ht="36" x14ac:dyDescent="0.25">
      <c r="B117" s="1046"/>
      <c r="C117" s="92"/>
      <c r="D117" s="45" t="s">
        <v>739</v>
      </c>
      <c r="E117" s="5"/>
      <c r="F117" s="5"/>
      <c r="G117" s="5"/>
      <c r="H117" s="5"/>
      <c r="I117" s="5"/>
      <c r="J117" s="5"/>
      <c r="K117" s="5"/>
    </row>
    <row r="118" spans="2:11" ht="24" x14ac:dyDescent="0.25">
      <c r="B118" s="1046"/>
      <c r="C118" s="92"/>
      <c r="D118" s="45" t="s">
        <v>740</v>
      </c>
      <c r="E118" s="5"/>
      <c r="F118" s="5"/>
      <c r="G118" s="5"/>
      <c r="H118" s="5"/>
      <c r="I118" s="5"/>
      <c r="J118" s="5"/>
      <c r="K118" s="5"/>
    </row>
    <row r="119" spans="2:11" ht="36" x14ac:dyDescent="0.25">
      <c r="B119" s="1046"/>
      <c r="C119" s="92"/>
      <c r="D119" s="45" t="s">
        <v>741</v>
      </c>
      <c r="E119" s="5"/>
      <c r="F119" s="5"/>
      <c r="G119" s="5"/>
      <c r="H119" s="5"/>
      <c r="I119" s="5"/>
      <c r="J119" s="5"/>
      <c r="K119" s="5"/>
    </row>
    <row r="120" spans="2:11" ht="36" x14ac:dyDescent="0.25">
      <c r="B120" s="1046"/>
      <c r="C120" s="92"/>
      <c r="D120" s="45" t="s">
        <v>742</v>
      </c>
      <c r="E120" s="5"/>
      <c r="F120" s="5"/>
      <c r="G120" s="5"/>
      <c r="H120" s="5"/>
      <c r="I120" s="5"/>
      <c r="J120" s="5"/>
      <c r="K120" s="5"/>
    </row>
    <row r="121" spans="2:11" ht="36" x14ac:dyDescent="0.25">
      <c r="B121" s="1046"/>
      <c r="C121" s="92"/>
      <c r="D121" s="45" t="s">
        <v>743</v>
      </c>
      <c r="E121" s="5"/>
      <c r="F121" s="5"/>
      <c r="G121" s="5"/>
      <c r="H121" s="5"/>
      <c r="I121" s="5"/>
      <c r="J121" s="5"/>
      <c r="K121" s="5"/>
    </row>
    <row r="122" spans="2:11" ht="60" x14ac:dyDescent="0.25">
      <c r="B122" s="1046"/>
      <c r="C122" s="92"/>
      <c r="D122" s="45" t="s">
        <v>744</v>
      </c>
      <c r="E122" s="5"/>
      <c r="F122" s="5"/>
      <c r="G122" s="5"/>
      <c r="H122" s="5"/>
      <c r="I122" s="5"/>
      <c r="J122" s="5"/>
      <c r="K122" s="5"/>
    </row>
    <row r="123" spans="2:11" ht="48" x14ac:dyDescent="0.25">
      <c r="B123" s="1046"/>
      <c r="C123" s="92"/>
      <c r="D123" s="45" t="s">
        <v>745</v>
      </c>
      <c r="E123" s="5"/>
      <c r="F123" s="5"/>
      <c r="G123" s="5"/>
      <c r="H123" s="5"/>
      <c r="I123" s="5"/>
      <c r="J123" s="5"/>
      <c r="K123" s="5"/>
    </row>
    <row r="124" spans="2:11" ht="24" x14ac:dyDescent="0.25">
      <c r="B124" s="1046"/>
      <c r="C124" s="92"/>
      <c r="D124" s="45" t="s">
        <v>746</v>
      </c>
      <c r="E124" s="5"/>
      <c r="F124" s="5"/>
      <c r="G124" s="5"/>
      <c r="H124" s="5"/>
      <c r="I124" s="5"/>
      <c r="J124" s="5"/>
      <c r="K124" s="5"/>
    </row>
    <row r="125" spans="2:11" ht="24" x14ac:dyDescent="0.25">
      <c r="B125" s="1046"/>
      <c r="C125" s="92"/>
      <c r="D125" s="45" t="s">
        <v>747</v>
      </c>
      <c r="E125" s="5"/>
      <c r="F125" s="5"/>
      <c r="G125" s="5"/>
      <c r="H125" s="5"/>
      <c r="I125" s="5"/>
      <c r="J125" s="5"/>
      <c r="K125" s="5"/>
    </row>
    <row r="126" spans="2:11" ht="24" x14ac:dyDescent="0.25">
      <c r="B126" s="1046"/>
      <c r="C126" s="92"/>
      <c r="D126" s="45" t="s">
        <v>748</v>
      </c>
      <c r="E126" s="5"/>
      <c r="F126" s="5"/>
      <c r="G126" s="5"/>
      <c r="H126" s="5"/>
      <c r="I126" s="5"/>
      <c r="J126" s="5"/>
      <c r="K126" s="5"/>
    </row>
    <row r="127" spans="2:11" ht="24" x14ac:dyDescent="0.25">
      <c r="B127" s="1046"/>
      <c r="C127" s="92"/>
      <c r="D127" s="45" t="s">
        <v>749</v>
      </c>
      <c r="E127" s="5"/>
      <c r="F127" s="5"/>
      <c r="G127" s="5"/>
      <c r="H127" s="5"/>
      <c r="I127" s="5"/>
      <c r="J127" s="5"/>
      <c r="K127" s="5"/>
    </row>
    <row r="128" spans="2:11" ht="48" x14ac:dyDescent="0.25">
      <c r="B128" s="1046"/>
      <c r="C128" s="92"/>
      <c r="D128" s="45" t="s">
        <v>750</v>
      </c>
      <c r="E128" s="5"/>
      <c r="F128" s="5"/>
      <c r="G128" s="5"/>
      <c r="H128" s="5"/>
      <c r="I128" s="5"/>
      <c r="J128" s="5"/>
      <c r="K128" s="5"/>
    </row>
    <row r="129" spans="2:11" ht="24" x14ac:dyDescent="0.25">
      <c r="B129" s="1046"/>
      <c r="C129" s="92"/>
      <c r="D129" s="45" t="s">
        <v>751</v>
      </c>
      <c r="E129" s="5"/>
      <c r="F129" s="5"/>
      <c r="G129" s="5"/>
      <c r="H129" s="5"/>
      <c r="I129" s="5"/>
      <c r="J129" s="5"/>
      <c r="K129" s="5"/>
    </row>
    <row r="130" spans="2:11" ht="36.75" thickBot="1" x14ac:dyDescent="0.3">
      <c r="B130" s="1047"/>
      <c r="C130" s="2"/>
      <c r="D130" s="40" t="s">
        <v>752</v>
      </c>
      <c r="E130" s="5"/>
      <c r="F130" s="5"/>
      <c r="G130" s="5"/>
      <c r="H130" s="5"/>
      <c r="I130" s="5"/>
      <c r="J130" s="5"/>
      <c r="K130" s="5"/>
    </row>
    <row r="131" spans="2:11" ht="24" x14ac:dyDescent="0.25">
      <c r="B131" s="1045" t="s">
        <v>90</v>
      </c>
      <c r="C131" s="92"/>
      <c r="D131" s="52" t="s">
        <v>753</v>
      </c>
      <c r="E131" s="5"/>
      <c r="F131" s="5"/>
      <c r="G131" s="5"/>
      <c r="H131" s="5"/>
      <c r="I131" s="5"/>
      <c r="J131" s="5"/>
      <c r="K131" s="5"/>
    </row>
    <row r="132" spans="2:11" ht="25.35" customHeight="1" x14ac:dyDescent="0.25">
      <c r="B132" s="1046"/>
      <c r="C132" s="92"/>
      <c r="D132" s="45" t="s">
        <v>248</v>
      </c>
      <c r="E132" s="5"/>
      <c r="F132" s="5"/>
      <c r="G132" s="5"/>
      <c r="H132" s="5"/>
      <c r="I132" s="5"/>
      <c r="J132" s="5"/>
      <c r="K132" s="5"/>
    </row>
    <row r="133" spans="2:11" x14ac:dyDescent="0.25">
      <c r="B133" s="1046"/>
      <c r="C133" s="92"/>
      <c r="D133" s="45" t="s">
        <v>91</v>
      </c>
      <c r="E133" s="5"/>
      <c r="F133" s="5"/>
      <c r="G133" s="5"/>
      <c r="H133" s="5"/>
      <c r="I133" s="5"/>
      <c r="J133" s="5"/>
      <c r="K133" s="5"/>
    </row>
    <row r="134" spans="2:11" ht="37.5" x14ac:dyDescent="0.25">
      <c r="B134" s="1046"/>
      <c r="C134" s="92"/>
      <c r="D134" s="45" t="s">
        <v>754</v>
      </c>
      <c r="E134" s="5"/>
      <c r="F134" s="5"/>
      <c r="G134" s="5"/>
      <c r="H134" s="5"/>
      <c r="I134" s="5"/>
      <c r="J134" s="5"/>
      <c r="K134" s="5"/>
    </row>
    <row r="135" spans="2:11" ht="37.5" x14ac:dyDescent="0.25">
      <c r="B135" s="1046"/>
      <c r="C135" s="92"/>
      <c r="D135" s="45" t="s">
        <v>755</v>
      </c>
      <c r="E135" s="5"/>
      <c r="F135" s="5"/>
      <c r="G135" s="5"/>
      <c r="H135" s="5"/>
      <c r="I135" s="5"/>
      <c r="J135" s="5"/>
      <c r="K135" s="5"/>
    </row>
    <row r="136" spans="2:11" ht="37.5" x14ac:dyDescent="0.25">
      <c r="B136" s="1046"/>
      <c r="C136" s="92"/>
      <c r="D136" s="45" t="s">
        <v>756</v>
      </c>
      <c r="E136" s="5"/>
      <c r="F136" s="5"/>
      <c r="G136" s="5"/>
      <c r="H136" s="5"/>
      <c r="I136" s="5"/>
      <c r="J136" s="5"/>
      <c r="K136" s="5"/>
    </row>
    <row r="137" spans="2:11" ht="37.5" x14ac:dyDescent="0.25">
      <c r="B137" s="1046"/>
      <c r="C137" s="92"/>
      <c r="D137" s="45" t="s">
        <v>757</v>
      </c>
      <c r="E137" s="5"/>
      <c r="F137" s="5"/>
      <c r="G137" s="5"/>
      <c r="H137" s="5"/>
      <c r="I137" s="5"/>
      <c r="J137" s="5"/>
      <c r="K137" s="5"/>
    </row>
    <row r="138" spans="2:11" x14ac:dyDescent="0.25">
      <c r="B138" s="1046"/>
      <c r="C138" s="92"/>
      <c r="D138" s="45" t="s">
        <v>758</v>
      </c>
      <c r="E138" s="5"/>
      <c r="F138" s="5"/>
      <c r="G138" s="5"/>
      <c r="H138" s="5"/>
      <c r="I138" s="5"/>
      <c r="J138" s="5"/>
      <c r="K138" s="5"/>
    </row>
    <row r="139" spans="2:11" x14ac:dyDescent="0.25">
      <c r="B139" s="1046"/>
      <c r="C139" s="92"/>
      <c r="D139" s="45" t="s">
        <v>759</v>
      </c>
      <c r="E139" s="5"/>
      <c r="F139" s="5"/>
      <c r="G139" s="5"/>
      <c r="H139" s="5"/>
      <c r="I139" s="5"/>
      <c r="J139" s="5"/>
      <c r="K139" s="5"/>
    </row>
    <row r="140" spans="2:11" x14ac:dyDescent="0.25">
      <c r="B140" s="1046"/>
      <c r="C140" s="92"/>
      <c r="D140" s="45" t="s">
        <v>760</v>
      </c>
      <c r="E140" s="5"/>
      <c r="F140" s="5"/>
      <c r="G140" s="5"/>
      <c r="H140" s="5"/>
      <c r="I140" s="5"/>
      <c r="J140" s="5"/>
      <c r="K140" s="5"/>
    </row>
    <row r="141" spans="2:11" x14ac:dyDescent="0.25">
      <c r="B141" s="1046"/>
      <c r="C141" s="92"/>
      <c r="D141" s="45" t="s">
        <v>761</v>
      </c>
      <c r="E141" s="5"/>
      <c r="F141" s="5"/>
      <c r="G141" s="5"/>
      <c r="H141" s="5"/>
      <c r="I141" s="5"/>
      <c r="J141" s="5"/>
      <c r="K141" s="5"/>
    </row>
    <row r="142" spans="2:11" ht="84" x14ac:dyDescent="0.25">
      <c r="B142" s="1046"/>
      <c r="C142" s="92"/>
      <c r="D142" s="53" t="s">
        <v>235</v>
      </c>
      <c r="E142" s="5"/>
      <c r="F142" s="5"/>
      <c r="G142" s="5"/>
      <c r="H142" s="5"/>
      <c r="I142" s="5"/>
      <c r="J142" s="5"/>
      <c r="K142" s="5"/>
    </row>
    <row r="143" spans="2:11" x14ac:dyDescent="0.25">
      <c r="B143" s="1046"/>
      <c r="C143" s="92"/>
      <c r="D143" s="56" t="s">
        <v>246</v>
      </c>
      <c r="E143" s="5"/>
      <c r="F143" s="5"/>
      <c r="G143" s="5"/>
      <c r="H143" s="5"/>
      <c r="I143" s="5"/>
      <c r="J143" s="5"/>
      <c r="K143" s="5"/>
    </row>
    <row r="144" spans="2:11" ht="24" x14ac:dyDescent="0.25">
      <c r="B144" s="1046"/>
      <c r="C144" s="92"/>
      <c r="D144" s="52" t="s">
        <v>762</v>
      </c>
      <c r="E144" s="5"/>
      <c r="F144" s="5"/>
      <c r="G144" s="5"/>
      <c r="H144" s="5"/>
      <c r="I144" s="5"/>
      <c r="J144" s="5"/>
      <c r="K144" s="5"/>
    </row>
    <row r="145" spans="2:11" ht="23.1" customHeight="1" x14ac:dyDescent="0.25">
      <c r="B145" s="1046"/>
      <c r="C145" s="92"/>
      <c r="D145" s="45" t="s">
        <v>248</v>
      </c>
      <c r="E145" s="5"/>
      <c r="F145" s="5"/>
      <c r="G145" s="5"/>
      <c r="H145" s="5"/>
      <c r="I145" s="5"/>
      <c r="J145" s="5"/>
      <c r="K145" s="5"/>
    </row>
    <row r="146" spans="2:11" x14ac:dyDescent="0.25">
      <c r="B146" s="1046"/>
      <c r="C146" s="92"/>
      <c r="D146" s="45" t="s">
        <v>91</v>
      </c>
      <c r="E146" s="5"/>
      <c r="F146" s="5"/>
      <c r="G146" s="5"/>
      <c r="H146" s="5"/>
      <c r="I146" s="5"/>
      <c r="J146" s="5"/>
      <c r="K146" s="5"/>
    </row>
    <row r="147" spans="2:11" ht="37.5" x14ac:dyDescent="0.25">
      <c r="B147" s="1046"/>
      <c r="C147" s="92"/>
      <c r="D147" s="45" t="s">
        <v>763</v>
      </c>
      <c r="E147" s="5"/>
      <c r="F147" s="5"/>
      <c r="G147" s="5"/>
      <c r="H147" s="5"/>
      <c r="I147" s="5"/>
      <c r="J147" s="5"/>
      <c r="K147" s="5"/>
    </row>
    <row r="148" spans="2:11" ht="37.5" x14ac:dyDescent="0.25">
      <c r="B148" s="1046"/>
      <c r="C148" s="92"/>
      <c r="D148" s="45" t="s">
        <v>764</v>
      </c>
      <c r="E148" s="5"/>
      <c r="F148" s="5"/>
      <c r="G148" s="5"/>
      <c r="H148" s="5"/>
      <c r="I148" s="5"/>
      <c r="J148" s="5"/>
      <c r="K148" s="5"/>
    </row>
    <row r="149" spans="2:11" ht="38.25" thickBot="1" x14ac:dyDescent="0.3">
      <c r="B149" s="1047"/>
      <c r="C149" s="2"/>
      <c r="D149" s="40" t="s">
        <v>765</v>
      </c>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sheetData>
  <sheetProtection insertColumns="0" insertRows="0"/>
  <mergeCells count="36">
    <mergeCell ref="B10:D10"/>
    <mergeCell ref="F10:S10"/>
    <mergeCell ref="F11:S11"/>
    <mergeCell ref="E12:R12"/>
    <mergeCell ref="E13:R13"/>
    <mergeCell ref="B72:E73"/>
    <mergeCell ref="B75:D75"/>
    <mergeCell ref="B77:B93"/>
    <mergeCell ref="B95:B130"/>
    <mergeCell ref="B131:B149"/>
    <mergeCell ref="D34:D35"/>
    <mergeCell ref="E34:E35"/>
    <mergeCell ref="F34:K34"/>
    <mergeCell ref="C21:C22"/>
    <mergeCell ref="D21:D22"/>
    <mergeCell ref="B15:B19"/>
    <mergeCell ref="B49:E49"/>
    <mergeCell ref="B50:B56"/>
    <mergeCell ref="B58:E58"/>
    <mergeCell ref="B59:B65"/>
    <mergeCell ref="D15:L15"/>
    <mergeCell ref="D16:L16"/>
    <mergeCell ref="D19:L19"/>
    <mergeCell ref="D20:L20"/>
    <mergeCell ref="D31:L31"/>
    <mergeCell ref="D32:L32"/>
    <mergeCell ref="D33:L33"/>
    <mergeCell ref="D44:L44"/>
    <mergeCell ref="E21:E22"/>
    <mergeCell ref="F21:J21"/>
    <mergeCell ref="C34:C35"/>
    <mergeCell ref="A1:P1"/>
    <mergeCell ref="A2:P2"/>
    <mergeCell ref="A3:P3"/>
    <mergeCell ref="A4:D4"/>
    <mergeCell ref="A5:P5"/>
  </mergeCells>
  <conditionalFormatting sqref="H30">
    <cfRule type="containsText" dxfId="52" priority="6" operator="containsText" text="ERROR">
      <formula>NOT(ISERROR(SEARCH("ERROR",H30)))</formula>
    </cfRule>
  </conditionalFormatting>
  <conditionalFormatting sqref="F10">
    <cfRule type="notContainsBlanks" dxfId="51" priority="5">
      <formula>LEN(TRIM(F10))&gt;0</formula>
    </cfRule>
  </conditionalFormatting>
  <conditionalFormatting sqref="F11:S11">
    <cfRule type="expression" dxfId="50" priority="3">
      <formula>E11="NO SE REPORTA"</formula>
    </cfRule>
    <cfRule type="expression" dxfId="49" priority="4">
      <formula>E10="NO APLICA"</formula>
    </cfRule>
  </conditionalFormatting>
  <conditionalFormatting sqref="E12:R12">
    <cfRule type="expression" dxfId="48"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8">
      <formula1>0</formula1>
    </dataValidation>
    <dataValidation type="whole" operator="greaterThanOrEqual" allowBlank="1" showInputMessage="1" showErrorMessage="1" errorTitle="ERROR" error="Valor en PESOS (sin centavos)" sqref="F36:I42">
      <formula1>0</formula1>
    </dataValidation>
    <dataValidation type="decimal" allowBlank="1" showInputMessage="1" showErrorMessage="1" errorTitle="ERROR" error="Escriba un valor entre 0% y 100%" sqref="F23:H29">
      <formula1>0</formula1>
      <formula2>1</formula2>
    </dataValidation>
    <dataValidation allowBlank="1" showInputMessage="1" showErrorMessage="1" sqref="G43:I43 J36:K43 H30 I23:I30"/>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54" r:id="rId1"/>
  </hyperlinks>
  <pageMargins left="0.25" right="0.25" top="0.75" bottom="0.75" header="0.3" footer="0.3"/>
  <pageSetup paperSize="178" orientation="landscape" horizontalDpi="1200" verticalDpi="120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0"/>
  <sheetViews>
    <sheetView showGridLines="0" zoomScale="98" zoomScaleNormal="98" workbookViewId="0">
      <selection activeCell="N57" sqref="N57"/>
    </sheetView>
  </sheetViews>
  <sheetFormatPr baseColWidth="10" defaultRowHeight="15" x14ac:dyDescent="0.25"/>
  <cols>
    <col min="1" max="1" width="1.85546875" customWidth="1"/>
    <col min="2" max="2" width="10.85546875" customWidth="1"/>
    <col min="3" max="3" width="5" style="85" bestFit="1" customWidth="1"/>
    <col min="4" max="4" width="34.85546875" customWidth="1"/>
    <col min="5" max="5" width="18.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779</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8" t="s">
        <v>1192</v>
      </c>
      <c r="C8" s="209">
        <v>2022</v>
      </c>
      <c r="D8" s="214">
        <f>IF(E10="NO APLICA","NO APLICA",IF(E11="NO SE REPORTA","SIN INFORMACION",+E42))</f>
        <v>1</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1929</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ht="15.6" customHeight="1" thickTop="1" thickBot="1" x14ac:dyDescent="0.3">
      <c r="B15" s="1123" t="s">
        <v>2</v>
      </c>
      <c r="C15" s="87"/>
      <c r="D15" s="1036" t="s">
        <v>336</v>
      </c>
      <c r="E15" s="1037"/>
      <c r="F15" s="1037"/>
      <c r="G15" s="1037"/>
      <c r="H15" s="1037"/>
      <c r="I15" s="1037"/>
      <c r="J15" s="1037"/>
      <c r="K15" s="1037"/>
      <c r="L15" s="1133"/>
    </row>
    <row r="16" spans="1:21" ht="15.75" thickBot="1" x14ac:dyDescent="0.3">
      <c r="B16" s="1124"/>
      <c r="C16" s="88" t="s">
        <v>19</v>
      </c>
      <c r="D16" s="38" t="s">
        <v>253</v>
      </c>
      <c r="E16" s="38" t="s">
        <v>20</v>
      </c>
      <c r="F16" s="38" t="s">
        <v>21</v>
      </c>
      <c r="G16" s="38" t="s">
        <v>22</v>
      </c>
      <c r="H16" s="38" t="s">
        <v>23</v>
      </c>
      <c r="I16" s="38" t="s">
        <v>254</v>
      </c>
      <c r="J16" s="5"/>
      <c r="L16" s="21"/>
    </row>
    <row r="17" spans="2:12" ht="48.75" thickBot="1" x14ac:dyDescent="0.3">
      <c r="B17" s="1124"/>
      <c r="C17" s="89" t="s">
        <v>152</v>
      </c>
      <c r="D17" s="40" t="s">
        <v>830</v>
      </c>
      <c r="E17" s="6">
        <v>4</v>
      </c>
      <c r="F17" s="6">
        <v>5</v>
      </c>
      <c r="G17" s="6">
        <v>5</v>
      </c>
      <c r="H17" s="6">
        <v>5</v>
      </c>
      <c r="I17" s="41">
        <f>SUM(E17:H17)</f>
        <v>19</v>
      </c>
      <c r="J17" s="5"/>
      <c r="L17" s="21"/>
    </row>
    <row r="18" spans="2:12" ht="15.75" thickBot="1" x14ac:dyDescent="0.3">
      <c r="B18" s="1124"/>
      <c r="C18" s="89" t="s">
        <v>154</v>
      </c>
      <c r="D18" s="40" t="s">
        <v>774</v>
      </c>
      <c r="E18" s="184">
        <v>200000000</v>
      </c>
      <c r="F18" s="184">
        <v>120000000</v>
      </c>
      <c r="G18" s="184">
        <v>95000000</v>
      </c>
      <c r="H18" s="184"/>
      <c r="I18" s="132">
        <f>SUM(E18:H18)</f>
        <v>415000000</v>
      </c>
      <c r="J18" s="5"/>
      <c r="L18" s="21"/>
    </row>
    <row r="19" spans="2:12" ht="15.75" thickBot="1" x14ac:dyDescent="0.3">
      <c r="B19" s="1124"/>
      <c r="C19" s="89" t="s">
        <v>156</v>
      </c>
      <c r="D19" s="40" t="s">
        <v>831</v>
      </c>
      <c r="E19" s="184">
        <v>58000000</v>
      </c>
      <c r="F19" s="184">
        <v>161702142</v>
      </c>
      <c r="G19" s="184">
        <v>95000000</v>
      </c>
      <c r="H19" s="184"/>
      <c r="I19" s="132">
        <f>SUM(E19:H19)</f>
        <v>314702142</v>
      </c>
      <c r="J19" s="5"/>
      <c r="L19" s="21"/>
    </row>
    <row r="20" spans="2:12" x14ac:dyDescent="0.25">
      <c r="B20" s="216"/>
      <c r="C20" s="90"/>
      <c r="D20" s="1027"/>
      <c r="E20" s="1028"/>
      <c r="F20" s="1028"/>
      <c r="G20" s="1028"/>
      <c r="H20" s="1028"/>
      <c r="I20" s="1028"/>
      <c r="J20" s="1028"/>
      <c r="K20" s="1028"/>
      <c r="L20" s="1118"/>
    </row>
    <row r="21" spans="2:12" ht="15.75" thickBot="1" x14ac:dyDescent="0.3">
      <c r="B21" s="216"/>
      <c r="C21" s="90"/>
      <c r="D21" s="1051" t="s">
        <v>832</v>
      </c>
      <c r="E21" s="1052"/>
      <c r="F21" s="1052"/>
      <c r="G21" s="1052"/>
      <c r="H21" s="1052"/>
      <c r="I21" s="1052"/>
      <c r="J21" s="1052"/>
      <c r="K21" s="1052"/>
      <c r="L21" s="1120"/>
    </row>
    <row r="22" spans="2:12" ht="15" customHeight="1" thickBot="1" x14ac:dyDescent="0.3">
      <c r="B22" s="216"/>
      <c r="C22" s="1093" t="s">
        <v>19</v>
      </c>
      <c r="D22" s="1045" t="s">
        <v>270</v>
      </c>
      <c r="E22" s="1045" t="s">
        <v>619</v>
      </c>
      <c r="F22" s="1048" t="s">
        <v>620</v>
      </c>
      <c r="G22" s="1050"/>
      <c r="H22" s="1048" t="s">
        <v>693</v>
      </c>
      <c r="I22" s="1049"/>
      <c r="J22" s="1049"/>
      <c r="K22" s="1050"/>
      <c r="L22" s="115"/>
    </row>
    <row r="23" spans="2:12" ht="34.5" thickBot="1" x14ac:dyDescent="0.3">
      <c r="B23" s="216"/>
      <c r="C23" s="1094"/>
      <c r="D23" s="1047"/>
      <c r="E23" s="1047"/>
      <c r="F23" s="64" t="s">
        <v>621</v>
      </c>
      <c r="G23" s="65" t="s">
        <v>622</v>
      </c>
      <c r="H23" s="64" t="s">
        <v>774</v>
      </c>
      <c r="I23" s="64" t="s">
        <v>344</v>
      </c>
      <c r="J23" s="64" t="s">
        <v>274</v>
      </c>
      <c r="K23" s="64" t="s">
        <v>275</v>
      </c>
      <c r="L23" s="11"/>
    </row>
    <row r="24" spans="2:12" ht="60.75" thickBot="1" x14ac:dyDescent="0.3">
      <c r="B24" s="216"/>
      <c r="C24" s="270">
        <v>1</v>
      </c>
      <c r="D24" s="29" t="s">
        <v>1799</v>
      </c>
      <c r="E24" s="29" t="s">
        <v>1800</v>
      </c>
      <c r="F24" s="31">
        <v>0.9</v>
      </c>
      <c r="G24" s="31">
        <v>1</v>
      </c>
      <c r="H24" s="184"/>
      <c r="I24" s="184"/>
      <c r="J24" s="184"/>
      <c r="K24" s="184"/>
      <c r="L24" s="11"/>
    </row>
    <row r="25" spans="2:12" ht="60.75" thickBot="1" x14ac:dyDescent="0.3">
      <c r="B25" s="216"/>
      <c r="C25" s="270">
        <v>2</v>
      </c>
      <c r="D25" s="29" t="s">
        <v>1799</v>
      </c>
      <c r="E25" s="29" t="s">
        <v>1801</v>
      </c>
      <c r="F25" s="31">
        <v>1</v>
      </c>
      <c r="G25" s="31">
        <v>1</v>
      </c>
      <c r="H25" s="184"/>
      <c r="I25" s="184"/>
      <c r="J25" s="184"/>
      <c r="K25" s="184"/>
      <c r="L25" s="11"/>
    </row>
    <row r="26" spans="2:12" ht="48.75" thickBot="1" x14ac:dyDescent="0.3">
      <c r="B26" s="216"/>
      <c r="C26" s="270">
        <v>3</v>
      </c>
      <c r="D26" s="29" t="s">
        <v>1799</v>
      </c>
      <c r="E26" s="29" t="s">
        <v>1802</v>
      </c>
      <c r="F26" s="31">
        <v>1</v>
      </c>
      <c r="G26" s="31">
        <v>1</v>
      </c>
      <c r="H26" s="184">
        <v>95000000</v>
      </c>
      <c r="I26" s="184">
        <v>95000000</v>
      </c>
      <c r="J26" s="184">
        <v>4000000</v>
      </c>
      <c r="K26" s="184">
        <v>4000000</v>
      </c>
      <c r="L26" s="11"/>
    </row>
    <row r="27" spans="2:12" ht="36.75" thickBot="1" x14ac:dyDescent="0.3">
      <c r="B27" s="216"/>
      <c r="C27" s="270">
        <v>4</v>
      </c>
      <c r="D27" s="29" t="s">
        <v>1799</v>
      </c>
      <c r="E27" s="29" t="s">
        <v>1803</v>
      </c>
      <c r="F27" s="31">
        <v>0.65</v>
      </c>
      <c r="G27" s="31">
        <v>1</v>
      </c>
      <c r="H27" s="184"/>
      <c r="I27" s="184"/>
      <c r="J27" s="184"/>
      <c r="K27" s="184"/>
      <c r="L27" s="11"/>
    </row>
    <row r="28" spans="2:12" ht="36.75" thickBot="1" x14ac:dyDescent="0.3">
      <c r="B28" s="216"/>
      <c r="C28" s="270">
        <v>5</v>
      </c>
      <c r="D28" s="29" t="s">
        <v>1799</v>
      </c>
      <c r="E28" s="29" t="s">
        <v>1928</v>
      </c>
      <c r="F28" s="31">
        <v>0.55000000000000004</v>
      </c>
      <c r="G28" s="31">
        <v>1</v>
      </c>
      <c r="H28" s="184"/>
      <c r="I28" s="184"/>
      <c r="J28" s="184"/>
      <c r="K28" s="184"/>
      <c r="L28" s="11"/>
    </row>
    <row r="29" spans="2:12" ht="15.75" thickBot="1" x14ac:dyDescent="0.3">
      <c r="B29" s="216"/>
      <c r="C29" s="270"/>
      <c r="D29" s="29"/>
      <c r="E29" s="29"/>
      <c r="F29" s="31"/>
      <c r="G29" s="31"/>
      <c r="H29" s="184"/>
      <c r="I29" s="184"/>
      <c r="J29" s="184"/>
      <c r="K29" s="184"/>
      <c r="L29" s="11"/>
    </row>
    <row r="30" spans="2:12" ht="15.75" thickBot="1" x14ac:dyDescent="0.3">
      <c r="B30" s="216"/>
      <c r="C30" s="74"/>
      <c r="D30" s="44" t="s">
        <v>151</v>
      </c>
      <c r="E30" s="124"/>
      <c r="F30" s="125"/>
      <c r="G30" s="38"/>
      <c r="H30" s="133">
        <f>SUM(H24:H29)</f>
        <v>95000000</v>
      </c>
      <c r="I30" s="133">
        <f>SUM(I24:I29)</f>
        <v>95000000</v>
      </c>
      <c r="J30" s="133">
        <f>SUM(J24:J29)</f>
        <v>4000000</v>
      </c>
      <c r="K30" s="133">
        <f>SUM(K24:K29)</f>
        <v>4000000</v>
      </c>
      <c r="L30" s="12"/>
    </row>
    <row r="31" spans="2:12" x14ac:dyDescent="0.25">
      <c r="B31" s="216"/>
      <c r="C31" s="90"/>
      <c r="D31" s="1027" t="s">
        <v>833</v>
      </c>
      <c r="E31" s="1028"/>
      <c r="F31" s="1028"/>
      <c r="G31" s="1028"/>
      <c r="H31" s="1028"/>
      <c r="I31" s="1028"/>
      <c r="J31" s="1028"/>
      <c r="K31" s="1028"/>
      <c r="L31" s="1118"/>
    </row>
    <row r="32" spans="2:12" ht="24" customHeight="1" thickBot="1" x14ac:dyDescent="0.3">
      <c r="B32" s="216"/>
      <c r="C32" s="90"/>
      <c r="D32" s="1027" t="s">
        <v>834</v>
      </c>
      <c r="E32" s="1028"/>
      <c r="F32" s="1028"/>
      <c r="G32" s="1028"/>
      <c r="H32" s="1028"/>
      <c r="I32" s="1028"/>
      <c r="J32" s="1028"/>
      <c r="K32" s="1028"/>
      <c r="L32" s="1118"/>
    </row>
    <row r="33" spans="2:14" ht="15.75" thickBot="1" x14ac:dyDescent="0.3">
      <c r="B33" s="216"/>
      <c r="C33" s="1205" t="s">
        <v>19</v>
      </c>
      <c r="D33" s="1180" t="s">
        <v>698</v>
      </c>
      <c r="E33" s="66" t="s">
        <v>835</v>
      </c>
      <c r="F33" s="1183" t="s">
        <v>699</v>
      </c>
      <c r="G33" s="1184"/>
      <c r="H33" s="1196" t="s">
        <v>55</v>
      </c>
      <c r="I33" s="5"/>
      <c r="J33" s="5"/>
      <c r="L33" s="21"/>
    </row>
    <row r="34" spans="2:14" x14ac:dyDescent="0.25">
      <c r="B34" s="216"/>
      <c r="C34" s="1206"/>
      <c r="D34" s="1181"/>
      <c r="E34" s="1045" t="s">
        <v>836</v>
      </c>
      <c r="F34" s="1045" t="s">
        <v>700</v>
      </c>
      <c r="G34" s="45" t="s">
        <v>701</v>
      </c>
      <c r="H34" s="1197"/>
      <c r="I34" s="5"/>
      <c r="J34" s="5"/>
      <c r="L34" s="21"/>
    </row>
    <row r="35" spans="2:14" ht="24.75" thickBot="1" x14ac:dyDescent="0.3">
      <c r="B35" s="216"/>
      <c r="C35" s="1207"/>
      <c r="D35" s="1182"/>
      <c r="E35" s="1047"/>
      <c r="F35" s="1047"/>
      <c r="G35" s="40" t="s">
        <v>695</v>
      </c>
      <c r="H35" s="1198"/>
      <c r="I35" s="5"/>
      <c r="J35" s="5"/>
      <c r="L35" s="21"/>
    </row>
    <row r="36" spans="2:14" ht="15.75" thickBot="1" x14ac:dyDescent="0.3">
      <c r="B36" s="216"/>
      <c r="C36" s="318">
        <v>1</v>
      </c>
      <c r="D36" s="345">
        <v>0.2</v>
      </c>
      <c r="E36" s="31">
        <f t="shared" ref="E36:E41" si="0">+G24</f>
        <v>1</v>
      </c>
      <c r="F36" s="139">
        <f t="shared" ref="F36:G41" si="1">IFERROR(J24/I24,0)</f>
        <v>0</v>
      </c>
      <c r="G36" s="139">
        <f t="shared" si="1"/>
        <v>0</v>
      </c>
      <c r="H36" s="30"/>
      <c r="I36" s="5"/>
      <c r="J36" s="5"/>
      <c r="L36" s="21"/>
    </row>
    <row r="37" spans="2:14" ht="15.75" thickBot="1" x14ac:dyDescent="0.3">
      <c r="B37" s="216"/>
      <c r="C37" s="318">
        <v>2</v>
      </c>
      <c r="D37" s="345">
        <v>0.2</v>
      </c>
      <c r="E37" s="31">
        <f t="shared" si="0"/>
        <v>1</v>
      </c>
      <c r="F37" s="139">
        <f t="shared" si="1"/>
        <v>0</v>
      </c>
      <c r="G37" s="139">
        <f t="shared" si="1"/>
        <v>0</v>
      </c>
      <c r="H37" s="30"/>
      <c r="I37" s="5"/>
      <c r="J37" s="5"/>
      <c r="L37" s="21"/>
    </row>
    <row r="38" spans="2:14" ht="15.75" thickBot="1" x14ac:dyDescent="0.3">
      <c r="B38" s="216"/>
      <c r="C38" s="318">
        <v>3</v>
      </c>
      <c r="D38" s="345">
        <v>0.2</v>
      </c>
      <c r="E38" s="31">
        <f t="shared" si="0"/>
        <v>1</v>
      </c>
      <c r="F38" s="139">
        <f t="shared" si="1"/>
        <v>4.2105263157894736E-2</v>
      </c>
      <c r="G38" s="139">
        <f t="shared" si="1"/>
        <v>1</v>
      </c>
      <c r="H38" s="30"/>
      <c r="I38" s="5"/>
      <c r="J38" s="5"/>
      <c r="L38" s="21"/>
    </row>
    <row r="39" spans="2:14" ht="15.75" thickBot="1" x14ac:dyDescent="0.3">
      <c r="B39" s="216"/>
      <c r="C39" s="318">
        <v>4</v>
      </c>
      <c r="D39" s="345">
        <v>0.2</v>
      </c>
      <c r="E39" s="31">
        <f t="shared" si="0"/>
        <v>1</v>
      </c>
      <c r="F39" s="139">
        <f t="shared" si="1"/>
        <v>0</v>
      </c>
      <c r="G39" s="139">
        <f t="shared" si="1"/>
        <v>0</v>
      </c>
      <c r="H39" s="30"/>
      <c r="I39" s="5"/>
      <c r="J39" s="5"/>
      <c r="L39" s="21"/>
    </row>
    <row r="40" spans="2:14" ht="15.75" thickBot="1" x14ac:dyDescent="0.3">
      <c r="B40" s="216"/>
      <c r="C40" s="318">
        <v>5</v>
      </c>
      <c r="D40" s="345">
        <v>0.2</v>
      </c>
      <c r="E40" s="31">
        <f t="shared" si="0"/>
        <v>1</v>
      </c>
      <c r="F40" s="139">
        <f t="shared" si="1"/>
        <v>0</v>
      </c>
      <c r="G40" s="139">
        <f t="shared" si="1"/>
        <v>0</v>
      </c>
      <c r="H40" s="30"/>
      <c r="I40" s="5"/>
      <c r="J40" s="5"/>
      <c r="L40" s="21"/>
    </row>
    <row r="41" spans="2:14" ht="15.75" thickBot="1" x14ac:dyDescent="0.3">
      <c r="B41" s="216"/>
      <c r="C41" s="318">
        <v>6</v>
      </c>
      <c r="D41" s="345"/>
      <c r="E41" s="31">
        <f t="shared" si="0"/>
        <v>0</v>
      </c>
      <c r="F41" s="139">
        <f t="shared" si="1"/>
        <v>0</v>
      </c>
      <c r="G41" s="139">
        <f t="shared" si="1"/>
        <v>0</v>
      </c>
      <c r="H41" s="30"/>
      <c r="I41" s="5"/>
      <c r="J41" s="5"/>
      <c r="L41" s="21"/>
    </row>
    <row r="42" spans="2:14" ht="15.75" thickBot="1" x14ac:dyDescent="0.3">
      <c r="B42" s="46"/>
      <c r="C42" s="104"/>
      <c r="D42" s="194">
        <f>Formulas!$D$24</f>
        <v>1</v>
      </c>
      <c r="E42" s="202">
        <f>+D36*E36+D37*E37+D38*E38+D39*E39+D40*E40+D41*E41</f>
        <v>1</v>
      </c>
      <c r="F42" s="202">
        <f>+D36*F36+D37*F37+D38*F38+D39*F39+D40*F40+D41*F41</f>
        <v>8.4210526315789472E-3</v>
      </c>
      <c r="G42" s="139">
        <f>Formulas!F24</f>
        <v>1</v>
      </c>
      <c r="H42" s="30"/>
      <c r="I42" s="22"/>
      <c r="J42" s="22"/>
      <c r="K42" s="22"/>
      <c r="L42" s="23"/>
      <c r="N42" t="s">
        <v>1202</v>
      </c>
    </row>
    <row r="43" spans="2:14" ht="15.75" thickBot="1" x14ac:dyDescent="0.3">
      <c r="B43" s="37"/>
      <c r="C43" s="86"/>
      <c r="D43" s="5"/>
      <c r="E43" s="5"/>
      <c r="F43" s="5"/>
      <c r="G43" s="5"/>
      <c r="H43" s="5"/>
      <c r="I43" s="5"/>
      <c r="J43" s="5"/>
      <c r="K43" s="5"/>
    </row>
    <row r="44" spans="2:14" ht="108.75" thickBot="1" x14ac:dyDescent="0.3">
      <c r="B44" s="51" t="s">
        <v>34</v>
      </c>
      <c r="C44" s="96"/>
      <c r="D44" s="42" t="s">
        <v>837</v>
      </c>
      <c r="E44" s="5"/>
      <c r="F44" s="5"/>
      <c r="G44" s="5"/>
      <c r="H44" s="5"/>
      <c r="I44" s="5"/>
      <c r="J44" s="5"/>
      <c r="K44" s="5"/>
    </row>
    <row r="45" spans="2:14" ht="48.6" customHeight="1" thickBot="1" x14ac:dyDescent="0.3">
      <c r="B45" s="46" t="s">
        <v>36</v>
      </c>
      <c r="C45" s="2"/>
      <c r="D45" s="40" t="s">
        <v>346</v>
      </c>
      <c r="E45" s="5"/>
      <c r="F45" s="5"/>
      <c r="G45" s="5"/>
      <c r="H45" s="5"/>
      <c r="I45" s="5"/>
      <c r="J45" s="5"/>
      <c r="K45" s="5"/>
    </row>
    <row r="46" spans="2:14" ht="15.75" thickBot="1" x14ac:dyDescent="0.3">
      <c r="B46" s="1"/>
      <c r="C46" s="74"/>
      <c r="D46" s="5"/>
      <c r="E46" s="5"/>
      <c r="F46" s="5"/>
      <c r="G46" s="5"/>
      <c r="H46" s="5"/>
      <c r="I46" s="5"/>
      <c r="J46" s="5"/>
      <c r="K46" s="5"/>
    </row>
    <row r="47" spans="2:14" ht="24" customHeight="1" thickBot="1" x14ac:dyDescent="0.3">
      <c r="B47" s="1054" t="s">
        <v>38</v>
      </c>
      <c r="C47" s="1055"/>
      <c r="D47" s="1055"/>
      <c r="E47" s="1056"/>
      <c r="F47" s="5"/>
      <c r="G47" s="5"/>
      <c r="H47" s="5"/>
      <c r="I47" s="5"/>
      <c r="J47" s="5"/>
      <c r="K47" s="5"/>
    </row>
    <row r="48" spans="2:14" ht="15.75" thickBot="1" x14ac:dyDescent="0.3">
      <c r="B48" s="1045">
        <v>1</v>
      </c>
      <c r="C48" s="92"/>
      <c r="D48" s="47" t="s">
        <v>39</v>
      </c>
      <c r="E48" s="158" t="s">
        <v>1771</v>
      </c>
      <c r="F48" s="5"/>
      <c r="G48" s="5"/>
      <c r="H48" s="5"/>
      <c r="I48" s="5"/>
      <c r="J48" s="5"/>
      <c r="K48" s="5"/>
    </row>
    <row r="49" spans="2:11" ht="15.75" thickBot="1" x14ac:dyDescent="0.3">
      <c r="B49" s="1046"/>
      <c r="C49" s="92"/>
      <c r="D49" s="40" t="s">
        <v>40</v>
      </c>
      <c r="E49" s="158" t="s">
        <v>1772</v>
      </c>
      <c r="F49" s="5"/>
      <c r="G49" s="5"/>
      <c r="H49" s="5"/>
      <c r="I49" s="5"/>
      <c r="J49" s="5"/>
      <c r="K49" s="5"/>
    </row>
    <row r="50" spans="2:11" ht="15.75" thickBot="1" x14ac:dyDescent="0.3">
      <c r="B50" s="1046"/>
      <c r="C50" s="92"/>
      <c r="D50" s="40" t="s">
        <v>41</v>
      </c>
      <c r="E50" s="158" t="s">
        <v>1782</v>
      </c>
      <c r="F50" s="5"/>
      <c r="G50" s="5"/>
      <c r="H50" s="5"/>
      <c r="I50" s="5"/>
      <c r="J50" s="5"/>
      <c r="K50" s="5"/>
    </row>
    <row r="51" spans="2:11" ht="15.75" thickBot="1" x14ac:dyDescent="0.3">
      <c r="B51" s="1046"/>
      <c r="C51" s="92"/>
      <c r="D51" s="40" t="s">
        <v>42</v>
      </c>
      <c r="E51" s="158" t="s">
        <v>1494</v>
      </c>
      <c r="F51" s="5"/>
      <c r="G51" s="5"/>
      <c r="H51" s="5"/>
      <c r="I51" s="5"/>
      <c r="J51" s="5"/>
      <c r="K51" s="5"/>
    </row>
    <row r="52" spans="2:11" ht="15.75" thickBot="1" x14ac:dyDescent="0.3">
      <c r="B52" s="1046"/>
      <c r="C52" s="92"/>
      <c r="D52" s="40" t="s">
        <v>43</v>
      </c>
      <c r="E52" s="516" t="s">
        <v>1783</v>
      </c>
      <c r="F52" s="5"/>
      <c r="G52" s="5"/>
      <c r="H52" s="5"/>
      <c r="I52" s="5"/>
      <c r="J52" s="5"/>
      <c r="K52" s="5"/>
    </row>
    <row r="53" spans="2:11" ht="15.75" thickBot="1" x14ac:dyDescent="0.3">
      <c r="B53" s="1046"/>
      <c r="C53" s="92"/>
      <c r="D53" s="40" t="s">
        <v>44</v>
      </c>
      <c r="E53" s="158">
        <v>4380200</v>
      </c>
      <c r="F53" s="5"/>
      <c r="G53" s="5"/>
      <c r="H53" s="5"/>
      <c r="I53" s="5"/>
      <c r="J53" s="5"/>
      <c r="K53" s="5"/>
    </row>
    <row r="54" spans="2:11" ht="15.75" thickBot="1" x14ac:dyDescent="0.3">
      <c r="B54" s="1047"/>
      <c r="C54" s="2"/>
      <c r="D54" s="40" t="s">
        <v>45</v>
      </c>
      <c r="E54" s="158" t="s">
        <v>1773</v>
      </c>
      <c r="F54" s="5"/>
      <c r="G54" s="5"/>
      <c r="H54" s="5"/>
      <c r="I54" s="5"/>
      <c r="J54" s="5"/>
      <c r="K54" s="5"/>
    </row>
    <row r="55" spans="2:11" ht="15.75" thickBot="1" x14ac:dyDescent="0.3">
      <c r="B55" s="1"/>
      <c r="C55" s="74"/>
      <c r="D55" s="5"/>
      <c r="E55" s="5"/>
      <c r="F55" s="5"/>
      <c r="G55" s="5"/>
      <c r="H55" s="5"/>
      <c r="I55" s="5"/>
      <c r="J55" s="5"/>
      <c r="K55" s="5"/>
    </row>
    <row r="56" spans="2:11" ht="15.75" thickBot="1" x14ac:dyDescent="0.3">
      <c r="B56" s="1054" t="s">
        <v>46</v>
      </c>
      <c r="C56" s="1055"/>
      <c r="D56" s="1055"/>
      <c r="E56" s="1056"/>
      <c r="F56" s="5"/>
      <c r="G56" s="5"/>
      <c r="H56" s="5"/>
      <c r="I56" s="5"/>
      <c r="J56" s="5"/>
      <c r="K56" s="5"/>
    </row>
    <row r="57" spans="2:11" ht="15.75" thickBot="1" x14ac:dyDescent="0.3">
      <c r="B57" s="1045">
        <v>1</v>
      </c>
      <c r="C57" s="92"/>
      <c r="D57" s="47" t="s">
        <v>39</v>
      </c>
      <c r="E57" s="217" t="s">
        <v>47</v>
      </c>
      <c r="F57" s="5"/>
      <c r="G57" s="5"/>
      <c r="H57" s="5"/>
      <c r="I57" s="5"/>
      <c r="J57" s="5"/>
      <c r="K57" s="5"/>
    </row>
    <row r="58" spans="2:11" ht="15.75" thickBot="1" x14ac:dyDescent="0.3">
      <c r="B58" s="1046"/>
      <c r="C58" s="92"/>
      <c r="D58" s="40" t="s">
        <v>40</v>
      </c>
      <c r="E58" s="217" t="s">
        <v>160</v>
      </c>
      <c r="F58" s="5"/>
      <c r="G58" s="5"/>
      <c r="H58" s="5"/>
      <c r="I58" s="5"/>
      <c r="J58" s="5"/>
      <c r="K58" s="5"/>
    </row>
    <row r="59" spans="2:11" ht="15.75" thickBot="1" x14ac:dyDescent="0.3">
      <c r="B59" s="1046"/>
      <c r="C59" s="92"/>
      <c r="D59" s="40" t="s">
        <v>41</v>
      </c>
      <c r="E59" s="163"/>
      <c r="F59" s="5"/>
      <c r="G59" s="5"/>
      <c r="H59" s="5"/>
      <c r="I59" s="5"/>
      <c r="J59" s="5"/>
      <c r="K59" s="5"/>
    </row>
    <row r="60" spans="2:11" ht="15.75" thickBot="1" x14ac:dyDescent="0.3">
      <c r="B60" s="1046"/>
      <c r="C60" s="92"/>
      <c r="D60" s="40" t="s">
        <v>42</v>
      </c>
      <c r="E60" s="163"/>
      <c r="F60" s="5"/>
      <c r="G60" s="5"/>
      <c r="H60" s="5"/>
      <c r="I60" s="5"/>
      <c r="J60" s="5"/>
      <c r="K60" s="5"/>
    </row>
    <row r="61" spans="2:11" ht="15.75" thickBot="1" x14ac:dyDescent="0.3">
      <c r="B61" s="1046"/>
      <c r="C61" s="92"/>
      <c r="D61" s="40" t="s">
        <v>43</v>
      </c>
      <c r="E61" s="163"/>
      <c r="F61" s="5"/>
      <c r="G61" s="5"/>
      <c r="H61" s="5"/>
      <c r="I61" s="5"/>
      <c r="J61" s="5"/>
      <c r="K61" s="5"/>
    </row>
    <row r="62" spans="2:11" ht="15.75" thickBot="1" x14ac:dyDescent="0.3">
      <c r="B62" s="1046"/>
      <c r="C62" s="92"/>
      <c r="D62" s="40" t="s">
        <v>44</v>
      </c>
      <c r="E62" s="163"/>
      <c r="F62" s="5"/>
      <c r="G62" s="5"/>
      <c r="H62" s="5"/>
      <c r="I62" s="5"/>
      <c r="J62" s="5"/>
      <c r="K62" s="5"/>
    </row>
    <row r="63" spans="2:11" ht="15.75" thickBot="1" x14ac:dyDescent="0.3">
      <c r="B63" s="1047"/>
      <c r="C63" s="2"/>
      <c r="D63" s="40" t="s">
        <v>45</v>
      </c>
      <c r="E63" s="163"/>
      <c r="F63" s="5"/>
      <c r="G63" s="5"/>
      <c r="H63" s="5"/>
      <c r="I63" s="5"/>
      <c r="J63" s="5"/>
      <c r="K63" s="5"/>
    </row>
    <row r="64" spans="2:11" ht="15.75" thickBot="1" x14ac:dyDescent="0.3">
      <c r="B64" s="1"/>
      <c r="C64" s="74"/>
      <c r="D64" s="5"/>
      <c r="E64" s="5"/>
      <c r="F64" s="5"/>
      <c r="G64" s="5"/>
      <c r="H64" s="5"/>
      <c r="I64" s="5"/>
      <c r="J64" s="5"/>
      <c r="K64" s="5"/>
    </row>
    <row r="65" spans="2:11" ht="15" customHeight="1" thickBot="1" x14ac:dyDescent="0.3">
      <c r="B65" s="120" t="s">
        <v>49</v>
      </c>
      <c r="C65" s="121"/>
      <c r="D65" s="121"/>
      <c r="E65" s="122"/>
      <c r="G65" s="5"/>
      <c r="H65" s="5"/>
      <c r="I65" s="5"/>
      <c r="J65" s="5"/>
      <c r="K65" s="5"/>
    </row>
    <row r="66" spans="2:11" ht="24.75" thickBot="1" x14ac:dyDescent="0.3">
      <c r="B66" s="46" t="s">
        <v>50</v>
      </c>
      <c r="C66" s="40" t="s">
        <v>51</v>
      </c>
      <c r="D66" s="40" t="s">
        <v>52</v>
      </c>
      <c r="E66" s="40" t="s">
        <v>53</v>
      </c>
      <c r="F66" s="5"/>
      <c r="G66" s="5"/>
      <c r="H66" s="5"/>
      <c r="I66" s="5"/>
      <c r="J66" s="5"/>
    </row>
    <row r="67" spans="2:11" ht="72.75" thickBot="1" x14ac:dyDescent="0.3">
      <c r="B67" s="48">
        <v>42401</v>
      </c>
      <c r="C67" s="40">
        <v>0.01</v>
      </c>
      <c r="D67" s="49" t="s">
        <v>838</v>
      </c>
      <c r="E67" s="40"/>
      <c r="F67" s="5"/>
      <c r="G67" s="5"/>
      <c r="H67" s="5"/>
      <c r="I67" s="5"/>
      <c r="J67" s="5"/>
    </row>
    <row r="68" spans="2:11" ht="15.75" thickBot="1" x14ac:dyDescent="0.3">
      <c r="B68" s="3"/>
      <c r="C68" s="93"/>
      <c r="D68" s="5"/>
      <c r="E68" s="5"/>
      <c r="F68" s="5"/>
      <c r="G68" s="5"/>
      <c r="H68" s="5"/>
      <c r="I68" s="5"/>
      <c r="J68" s="5"/>
      <c r="K68" s="5"/>
    </row>
    <row r="69" spans="2:11" ht="15.75" thickBot="1" x14ac:dyDescent="0.3">
      <c r="B69" s="346" t="s">
        <v>55</v>
      </c>
      <c r="C69" s="94"/>
      <c r="D69" s="5"/>
      <c r="E69" s="5"/>
      <c r="F69" s="5"/>
      <c r="G69" s="5"/>
      <c r="H69" s="5"/>
      <c r="I69" s="5"/>
      <c r="J69" s="5"/>
      <c r="K69" s="5"/>
    </row>
    <row r="70" spans="2:11" x14ac:dyDescent="0.25">
      <c r="B70" s="1199"/>
      <c r="C70" s="1200"/>
      <c r="D70" s="1200"/>
      <c r="E70" s="1201"/>
      <c r="F70" s="5"/>
      <c r="G70" s="5"/>
      <c r="H70" s="5"/>
      <c r="I70" s="5"/>
      <c r="J70" s="5"/>
      <c r="K70" s="5"/>
    </row>
    <row r="71" spans="2:11" ht="15.75" thickBot="1" x14ac:dyDescent="0.3">
      <c r="B71" s="1202"/>
      <c r="C71" s="1203"/>
      <c r="D71" s="1203"/>
      <c r="E71" s="1204"/>
      <c r="F71" s="5"/>
      <c r="G71" s="5"/>
      <c r="H71" s="5"/>
      <c r="I71" s="5"/>
      <c r="J71" s="5"/>
      <c r="K71" s="5"/>
    </row>
    <row r="72" spans="2:11" x14ac:dyDescent="0.25">
      <c r="B72" s="1"/>
      <c r="C72" s="74"/>
      <c r="D72" s="5"/>
      <c r="E72" s="5"/>
      <c r="F72" s="5"/>
      <c r="G72" s="5"/>
      <c r="H72" s="5"/>
      <c r="I72" s="5"/>
      <c r="J72" s="5"/>
      <c r="K72" s="5"/>
    </row>
    <row r="73" spans="2:11" ht="15.75" thickBot="1" x14ac:dyDescent="0.3">
      <c r="B73" s="5"/>
      <c r="D73" s="5"/>
      <c r="E73" s="5"/>
      <c r="F73" s="5"/>
      <c r="G73" s="5"/>
      <c r="H73" s="5"/>
      <c r="I73" s="5"/>
      <c r="J73" s="5"/>
      <c r="K73" s="5"/>
    </row>
    <row r="74" spans="2:11" ht="24.75" thickBot="1" x14ac:dyDescent="0.3">
      <c r="B74" s="50" t="s">
        <v>56</v>
      </c>
      <c r="C74" s="95"/>
      <c r="D74" s="5"/>
      <c r="E74" s="5"/>
      <c r="F74" s="5"/>
      <c r="G74" s="5"/>
      <c r="H74" s="5"/>
      <c r="I74" s="5"/>
      <c r="J74" s="5"/>
      <c r="K74" s="5"/>
    </row>
    <row r="75" spans="2:11" ht="15.75" thickBot="1" x14ac:dyDescent="0.3">
      <c r="B75" s="37"/>
      <c r="C75" s="86"/>
      <c r="D75" s="5"/>
      <c r="E75" s="5"/>
      <c r="F75" s="5"/>
      <c r="G75" s="5"/>
      <c r="H75" s="5"/>
      <c r="I75" s="5"/>
      <c r="J75" s="5"/>
      <c r="K75" s="5"/>
    </row>
    <row r="76" spans="2:11" ht="48.75" thickBot="1" x14ac:dyDescent="0.3">
      <c r="B76" s="51" t="s">
        <v>57</v>
      </c>
      <c r="C76" s="96"/>
      <c r="D76" s="42" t="s">
        <v>780</v>
      </c>
      <c r="E76" s="5"/>
      <c r="F76" s="5"/>
      <c r="G76" s="5"/>
      <c r="H76" s="5"/>
      <c r="I76" s="5"/>
      <c r="J76" s="5"/>
      <c r="K76" s="5"/>
    </row>
    <row r="77" spans="2:11" x14ac:dyDescent="0.25">
      <c r="B77" s="1045" t="s">
        <v>59</v>
      </c>
      <c r="C77" s="92"/>
      <c r="D77" s="52" t="s">
        <v>60</v>
      </c>
      <c r="E77" s="5"/>
      <c r="F77" s="5"/>
      <c r="G77" s="5"/>
      <c r="H77" s="5"/>
      <c r="I77" s="5"/>
      <c r="J77" s="5"/>
      <c r="K77" s="5"/>
    </row>
    <row r="78" spans="2:11" ht="108" x14ac:dyDescent="0.25">
      <c r="B78" s="1046"/>
      <c r="C78" s="92"/>
      <c r="D78" s="45" t="s">
        <v>781</v>
      </c>
      <c r="E78" s="5"/>
      <c r="F78" s="5"/>
      <c r="G78" s="5"/>
      <c r="H78" s="5"/>
      <c r="I78" s="5"/>
      <c r="J78" s="5"/>
      <c r="K78" s="5"/>
    </row>
    <row r="79" spans="2:11" x14ac:dyDescent="0.25">
      <c r="B79" s="1046"/>
      <c r="C79" s="92"/>
      <c r="D79" s="45" t="s">
        <v>782</v>
      </c>
      <c r="E79" s="5"/>
      <c r="F79" s="5"/>
      <c r="G79" s="5"/>
      <c r="H79" s="5"/>
      <c r="I79" s="5"/>
      <c r="J79" s="5"/>
      <c r="K79" s="5"/>
    </row>
    <row r="80" spans="2:11" ht="24" x14ac:dyDescent="0.25">
      <c r="B80" s="1046"/>
      <c r="C80" s="92"/>
      <c r="D80" s="45" t="s">
        <v>783</v>
      </c>
      <c r="E80" s="5"/>
      <c r="F80" s="5"/>
      <c r="G80" s="5"/>
      <c r="H80" s="5"/>
      <c r="I80" s="5"/>
      <c r="J80" s="5"/>
      <c r="K80" s="5"/>
    </row>
    <row r="81" spans="2:11" ht="24" x14ac:dyDescent="0.25">
      <c r="B81" s="1046"/>
      <c r="C81" s="92"/>
      <c r="D81" s="45" t="s">
        <v>784</v>
      </c>
      <c r="E81" s="5"/>
      <c r="F81" s="5"/>
      <c r="G81" s="5"/>
      <c r="H81" s="5"/>
      <c r="I81" s="5"/>
      <c r="J81" s="5"/>
      <c r="K81" s="5"/>
    </row>
    <row r="82" spans="2:11" x14ac:dyDescent="0.25">
      <c r="B82" s="1046"/>
      <c r="C82" s="92"/>
      <c r="D82" s="52" t="s">
        <v>288</v>
      </c>
      <c r="E82" s="5"/>
      <c r="F82" s="5"/>
      <c r="G82" s="5"/>
      <c r="H82" s="5"/>
      <c r="I82" s="5"/>
      <c r="J82" s="5"/>
      <c r="K82" s="5"/>
    </row>
    <row r="83" spans="2:11" ht="24" x14ac:dyDescent="0.25">
      <c r="B83" s="1046"/>
      <c r="C83" s="92"/>
      <c r="D83" s="45" t="s">
        <v>785</v>
      </c>
      <c r="E83" s="5"/>
      <c r="F83" s="5"/>
      <c r="G83" s="5"/>
      <c r="H83" s="5"/>
      <c r="I83" s="5"/>
      <c r="J83" s="5"/>
      <c r="K83" s="5"/>
    </row>
    <row r="84" spans="2:11" x14ac:dyDescent="0.25">
      <c r="B84" s="1046"/>
      <c r="C84" s="92"/>
      <c r="D84" s="45" t="s">
        <v>786</v>
      </c>
      <c r="E84" s="5"/>
      <c r="F84" s="5"/>
      <c r="G84" s="5"/>
      <c r="H84" s="5"/>
      <c r="I84" s="5"/>
      <c r="J84" s="5"/>
      <c r="K84" s="5"/>
    </row>
    <row r="85" spans="2:11" ht="36" x14ac:dyDescent="0.25">
      <c r="B85" s="1046"/>
      <c r="C85" s="92"/>
      <c r="D85" s="45" t="s">
        <v>787</v>
      </c>
      <c r="E85" s="5"/>
      <c r="F85" s="5"/>
      <c r="G85" s="5"/>
      <c r="H85" s="5"/>
      <c r="I85" s="5"/>
      <c r="J85" s="5"/>
      <c r="K85" s="5"/>
    </row>
    <row r="86" spans="2:11" ht="36" x14ac:dyDescent="0.25">
      <c r="B86" s="1046"/>
      <c r="C86" s="92"/>
      <c r="D86" s="45" t="s">
        <v>788</v>
      </c>
      <c r="E86" s="5"/>
      <c r="F86" s="5"/>
      <c r="G86" s="5"/>
      <c r="H86" s="5"/>
      <c r="I86" s="5"/>
      <c r="J86" s="5"/>
      <c r="K86" s="5"/>
    </row>
    <row r="87" spans="2:11" ht="24" x14ac:dyDescent="0.25">
      <c r="B87" s="1046"/>
      <c r="C87" s="92"/>
      <c r="D87" s="45" t="s">
        <v>789</v>
      </c>
      <c r="E87" s="5"/>
      <c r="F87" s="5"/>
      <c r="G87" s="5"/>
      <c r="H87" s="5"/>
      <c r="I87" s="5"/>
      <c r="J87" s="5"/>
      <c r="K87" s="5"/>
    </row>
    <row r="88" spans="2:11" ht="48" x14ac:dyDescent="0.25">
      <c r="B88" s="1046"/>
      <c r="C88" s="92"/>
      <c r="D88" s="45" t="s">
        <v>790</v>
      </c>
      <c r="E88" s="5"/>
      <c r="F88" s="5"/>
      <c r="G88" s="5"/>
      <c r="H88" s="5"/>
      <c r="I88" s="5"/>
      <c r="J88" s="5"/>
      <c r="K88" s="5"/>
    </row>
    <row r="89" spans="2:11" ht="36" x14ac:dyDescent="0.25">
      <c r="B89" s="1046"/>
      <c r="C89" s="92"/>
      <c r="D89" s="45" t="s">
        <v>791</v>
      </c>
      <c r="E89" s="5"/>
      <c r="F89" s="5"/>
      <c r="G89" s="5"/>
      <c r="H89" s="5"/>
      <c r="I89" s="5"/>
      <c r="J89" s="5"/>
      <c r="K89" s="5"/>
    </row>
    <row r="90" spans="2:11" ht="24" x14ac:dyDescent="0.25">
      <c r="B90" s="1046"/>
      <c r="C90" s="92"/>
      <c r="D90" s="45" t="s">
        <v>792</v>
      </c>
      <c r="E90" s="5"/>
      <c r="F90" s="5"/>
      <c r="G90" s="5"/>
      <c r="H90" s="5"/>
      <c r="I90" s="5"/>
      <c r="J90" s="5"/>
      <c r="K90" s="5"/>
    </row>
    <row r="91" spans="2:11" ht="24" x14ac:dyDescent="0.25">
      <c r="B91" s="1046"/>
      <c r="C91" s="92"/>
      <c r="D91" s="45" t="s">
        <v>793</v>
      </c>
      <c r="E91" s="5"/>
      <c r="F91" s="5"/>
      <c r="G91" s="5"/>
      <c r="H91" s="5"/>
      <c r="I91" s="5"/>
      <c r="J91" s="5"/>
      <c r="K91" s="5"/>
    </row>
    <row r="92" spans="2:11" ht="60.75" thickBot="1" x14ac:dyDescent="0.3">
      <c r="B92" s="1047"/>
      <c r="C92" s="2"/>
      <c r="D92" s="55" t="s">
        <v>794</v>
      </c>
      <c r="E92" s="5"/>
      <c r="F92" s="5"/>
      <c r="G92" s="5"/>
      <c r="H92" s="5"/>
      <c r="I92" s="5"/>
      <c r="J92" s="5"/>
      <c r="K92" s="5"/>
    </row>
    <row r="93" spans="2:11" x14ac:dyDescent="0.25">
      <c r="B93" s="1045" t="s">
        <v>72</v>
      </c>
      <c r="C93" s="97"/>
      <c r="D93" s="1045"/>
      <c r="E93" s="5"/>
      <c r="F93" s="5"/>
      <c r="G93" s="5"/>
      <c r="H93" s="5"/>
      <c r="I93" s="5"/>
      <c r="J93" s="5"/>
      <c r="K93" s="5"/>
    </row>
    <row r="94" spans="2:11" ht="15.75" thickBot="1" x14ac:dyDescent="0.3">
      <c r="B94" s="1047"/>
      <c r="C94" s="98"/>
      <c r="D94" s="1047"/>
      <c r="E94" s="5"/>
      <c r="F94" s="5"/>
      <c r="G94" s="5"/>
      <c r="H94" s="5"/>
      <c r="I94" s="5"/>
      <c r="J94" s="5"/>
      <c r="K94" s="5"/>
    </row>
    <row r="95" spans="2:11" ht="144" x14ac:dyDescent="0.25">
      <c r="B95" s="1045" t="s">
        <v>73</v>
      </c>
      <c r="C95" s="92"/>
      <c r="D95" s="45" t="s">
        <v>795</v>
      </c>
      <c r="E95" s="5"/>
      <c r="F95" s="5"/>
      <c r="G95" s="5"/>
      <c r="H95" s="5"/>
      <c r="I95" s="5"/>
      <c r="J95" s="5"/>
      <c r="K95" s="5"/>
    </row>
    <row r="96" spans="2:11" ht="192" x14ac:dyDescent="0.25">
      <c r="B96" s="1046"/>
      <c r="C96" s="92"/>
      <c r="D96" s="45" t="s">
        <v>796</v>
      </c>
      <c r="E96" s="5"/>
      <c r="F96" s="5"/>
      <c r="G96" s="5"/>
      <c r="H96" s="5"/>
      <c r="I96" s="5"/>
      <c r="J96" s="5"/>
      <c r="K96" s="5"/>
    </row>
    <row r="97" spans="2:11" ht="36" x14ac:dyDescent="0.25">
      <c r="B97" s="1046"/>
      <c r="C97" s="92"/>
      <c r="D97" s="45" t="s">
        <v>797</v>
      </c>
      <c r="E97" s="5"/>
      <c r="F97" s="5"/>
      <c r="G97" s="5"/>
      <c r="H97" s="5"/>
      <c r="I97" s="5"/>
      <c r="J97" s="5"/>
      <c r="K97" s="5"/>
    </row>
    <row r="98" spans="2:11" ht="36" x14ac:dyDescent="0.25">
      <c r="B98" s="1046"/>
      <c r="C98" s="92"/>
      <c r="D98" s="45" t="s">
        <v>798</v>
      </c>
      <c r="E98" s="5"/>
      <c r="F98" s="5"/>
      <c r="G98" s="5"/>
      <c r="H98" s="5"/>
      <c r="I98" s="5"/>
      <c r="J98" s="5"/>
      <c r="K98" s="5"/>
    </row>
    <row r="99" spans="2:11" ht="36" x14ac:dyDescent="0.25">
      <c r="B99" s="1046"/>
      <c r="C99" s="92"/>
      <c r="D99" s="45" t="s">
        <v>799</v>
      </c>
      <c r="E99" s="5"/>
      <c r="F99" s="5"/>
      <c r="G99" s="5"/>
      <c r="H99" s="5"/>
      <c r="I99" s="5"/>
      <c r="J99" s="5"/>
      <c r="K99" s="5"/>
    </row>
    <row r="100" spans="2:11" ht="48" x14ac:dyDescent="0.25">
      <c r="B100" s="1046"/>
      <c r="C100" s="92"/>
      <c r="D100" s="45" t="s">
        <v>800</v>
      </c>
      <c r="E100" s="5"/>
      <c r="F100" s="5"/>
      <c r="G100" s="5"/>
      <c r="H100" s="5"/>
      <c r="I100" s="5"/>
      <c r="J100" s="5"/>
      <c r="K100" s="5"/>
    </row>
    <row r="101" spans="2:11" ht="48" x14ac:dyDescent="0.25">
      <c r="B101" s="1046"/>
      <c r="C101" s="92"/>
      <c r="D101" s="45" t="s">
        <v>801</v>
      </c>
      <c r="E101" s="5"/>
      <c r="F101" s="5"/>
      <c r="G101" s="5"/>
      <c r="H101" s="5"/>
      <c r="I101" s="5"/>
      <c r="J101" s="5"/>
      <c r="K101" s="5"/>
    </row>
    <row r="102" spans="2:11" ht="36" x14ac:dyDescent="0.25">
      <c r="B102" s="1046"/>
      <c r="C102" s="92"/>
      <c r="D102" s="25" t="s">
        <v>802</v>
      </c>
      <c r="E102" s="5"/>
      <c r="F102" s="5"/>
      <c r="G102" s="5"/>
      <c r="H102" s="5"/>
      <c r="I102" s="5"/>
      <c r="J102" s="5"/>
      <c r="K102" s="5"/>
    </row>
    <row r="103" spans="2:11" ht="36" x14ac:dyDescent="0.25">
      <c r="B103" s="1046"/>
      <c r="C103" s="92"/>
      <c r="D103" s="25" t="s">
        <v>803</v>
      </c>
      <c r="E103" s="5"/>
      <c r="F103" s="5"/>
      <c r="G103" s="5"/>
      <c r="H103" s="5"/>
      <c r="I103" s="5"/>
      <c r="J103" s="5"/>
      <c r="K103" s="5"/>
    </row>
    <row r="104" spans="2:11" ht="24" x14ac:dyDescent="0.25">
      <c r="B104" s="1046"/>
      <c r="C104" s="92"/>
      <c r="D104" s="25" t="s">
        <v>804</v>
      </c>
      <c r="E104" s="5"/>
      <c r="F104" s="5"/>
      <c r="G104" s="5"/>
      <c r="H104" s="5"/>
      <c r="I104" s="5"/>
      <c r="J104" s="5"/>
      <c r="K104" s="5"/>
    </row>
    <row r="105" spans="2:11" ht="24" x14ac:dyDescent="0.25">
      <c r="B105" s="1046"/>
      <c r="C105" s="92"/>
      <c r="D105" s="25" t="s">
        <v>805</v>
      </c>
      <c r="E105" s="5"/>
      <c r="F105" s="5"/>
      <c r="G105" s="5"/>
      <c r="H105" s="5"/>
      <c r="I105" s="5"/>
      <c r="J105" s="5"/>
      <c r="K105" s="5"/>
    </row>
    <row r="106" spans="2:11" ht="60" x14ac:dyDescent="0.25">
      <c r="B106" s="1046"/>
      <c r="C106" s="92"/>
      <c r="D106" s="25" t="s">
        <v>806</v>
      </c>
      <c r="E106" s="5"/>
      <c r="F106" s="5"/>
      <c r="G106" s="5"/>
      <c r="H106" s="5"/>
      <c r="I106" s="5"/>
      <c r="J106" s="5"/>
      <c r="K106" s="5"/>
    </row>
    <row r="107" spans="2:11" ht="36" x14ac:dyDescent="0.25">
      <c r="B107" s="1046"/>
      <c r="C107" s="92"/>
      <c r="D107" s="25" t="s">
        <v>807</v>
      </c>
      <c r="E107" s="5"/>
      <c r="F107" s="5"/>
      <c r="G107" s="5"/>
      <c r="H107" s="5"/>
      <c r="I107" s="5"/>
      <c r="J107" s="5"/>
      <c r="K107" s="5"/>
    </row>
    <row r="108" spans="2:11" ht="36" x14ac:dyDescent="0.25">
      <c r="B108" s="1046"/>
      <c r="C108" s="92"/>
      <c r="D108" s="25" t="s">
        <v>808</v>
      </c>
      <c r="E108" s="5"/>
      <c r="F108" s="5"/>
      <c r="G108" s="5"/>
      <c r="H108" s="5"/>
      <c r="I108" s="5"/>
      <c r="J108" s="5"/>
      <c r="K108" s="5"/>
    </row>
    <row r="109" spans="2:11" ht="60" x14ac:dyDescent="0.25">
      <c r="B109" s="1046"/>
      <c r="C109" s="92"/>
      <c r="D109" s="25" t="s">
        <v>809</v>
      </c>
      <c r="E109" s="5"/>
      <c r="F109" s="5"/>
      <c r="G109" s="5"/>
      <c r="H109" s="5"/>
      <c r="I109" s="5"/>
      <c r="J109" s="5"/>
      <c r="K109" s="5"/>
    </row>
    <row r="110" spans="2:11" ht="24" x14ac:dyDescent="0.25">
      <c r="B110" s="1046"/>
      <c r="C110" s="92"/>
      <c r="D110" s="25" t="s">
        <v>810</v>
      </c>
      <c r="E110" s="5"/>
      <c r="F110" s="5"/>
      <c r="G110" s="5"/>
      <c r="H110" s="5"/>
      <c r="I110" s="5"/>
      <c r="J110" s="5"/>
      <c r="K110" s="5"/>
    </row>
    <row r="111" spans="2:11" ht="24" x14ac:dyDescent="0.25">
      <c r="B111" s="1046"/>
      <c r="C111" s="92"/>
      <c r="D111" s="25" t="s">
        <v>811</v>
      </c>
      <c r="E111" s="5"/>
      <c r="F111" s="5"/>
      <c r="G111" s="5"/>
      <c r="H111" s="5"/>
      <c r="I111" s="5"/>
      <c r="J111" s="5"/>
      <c r="K111" s="5"/>
    </row>
    <row r="112" spans="2:11" x14ac:dyDescent="0.25">
      <c r="B112" s="1046"/>
      <c r="C112" s="92"/>
      <c r="D112" s="25" t="s">
        <v>812</v>
      </c>
      <c r="E112" s="5"/>
      <c r="F112" s="5"/>
      <c r="G112" s="5"/>
      <c r="H112" s="5"/>
      <c r="I112" s="5"/>
      <c r="J112" s="5"/>
      <c r="K112" s="5"/>
    </row>
    <row r="113" spans="2:11" ht="36" x14ac:dyDescent="0.25">
      <c r="B113" s="1046"/>
      <c r="C113" s="92"/>
      <c r="D113" s="25" t="s">
        <v>813</v>
      </c>
      <c r="E113" s="5"/>
      <c r="F113" s="5"/>
      <c r="G113" s="5"/>
      <c r="H113" s="5"/>
      <c r="I113" s="5"/>
      <c r="J113" s="5"/>
      <c r="K113" s="5"/>
    </row>
    <row r="114" spans="2:11" ht="36" x14ac:dyDescent="0.25">
      <c r="B114" s="1046"/>
      <c r="C114" s="92"/>
      <c r="D114" s="25" t="s">
        <v>814</v>
      </c>
      <c r="E114" s="5"/>
      <c r="F114" s="5"/>
      <c r="G114" s="5"/>
      <c r="H114" s="5"/>
      <c r="I114" s="5"/>
      <c r="J114" s="5"/>
      <c r="K114" s="5"/>
    </row>
    <row r="115" spans="2:11" ht="36" x14ac:dyDescent="0.25">
      <c r="B115" s="1046"/>
      <c r="C115" s="92"/>
      <c r="D115" s="25" t="s">
        <v>815</v>
      </c>
      <c r="E115" s="5"/>
      <c r="F115" s="5"/>
      <c r="G115" s="5"/>
      <c r="H115" s="5"/>
      <c r="I115" s="5"/>
      <c r="J115" s="5"/>
      <c r="K115" s="5"/>
    </row>
    <row r="116" spans="2:11" ht="252" x14ac:dyDescent="0.25">
      <c r="B116" s="1046"/>
      <c r="C116" s="92"/>
      <c r="D116" s="45" t="s">
        <v>816</v>
      </c>
      <c r="E116" s="5"/>
      <c r="F116" s="5"/>
      <c r="G116" s="5"/>
      <c r="H116" s="5"/>
      <c r="I116" s="5"/>
      <c r="J116" s="5"/>
      <c r="K116" s="5"/>
    </row>
    <row r="117" spans="2:11" ht="60.75" thickBot="1" x14ac:dyDescent="0.3">
      <c r="B117" s="1047"/>
      <c r="C117" s="2"/>
      <c r="D117" s="40" t="s">
        <v>817</v>
      </c>
      <c r="E117" s="5"/>
      <c r="F117" s="5"/>
      <c r="G117" s="5"/>
      <c r="H117" s="5"/>
      <c r="I117" s="5"/>
      <c r="J117" s="5"/>
      <c r="K117" s="5"/>
    </row>
    <row r="118" spans="2:11" ht="24" x14ac:dyDescent="0.25">
      <c r="B118" s="1045" t="s">
        <v>90</v>
      </c>
      <c r="C118" s="92"/>
      <c r="D118" s="52" t="s">
        <v>779</v>
      </c>
      <c r="E118" s="5"/>
      <c r="F118" s="5"/>
      <c r="G118" s="5"/>
      <c r="H118" s="5"/>
      <c r="I118" s="5"/>
      <c r="J118" s="5"/>
      <c r="K118" s="5"/>
    </row>
    <row r="119" spans="2:11" ht="20.45" customHeight="1" x14ac:dyDescent="0.25">
      <c r="B119" s="1046"/>
      <c r="C119" s="92"/>
      <c r="D119" s="16"/>
      <c r="E119" s="5"/>
      <c r="F119" s="5"/>
      <c r="G119" s="5"/>
      <c r="H119" s="5"/>
      <c r="I119" s="5"/>
      <c r="J119" s="5"/>
      <c r="K119" s="5"/>
    </row>
    <row r="120" spans="2:11" x14ac:dyDescent="0.25">
      <c r="B120" s="1046"/>
      <c r="C120" s="92"/>
      <c r="D120" s="45" t="s">
        <v>91</v>
      </c>
      <c r="E120" s="5"/>
      <c r="F120" s="5"/>
      <c r="G120" s="5"/>
      <c r="H120" s="5"/>
      <c r="I120" s="5"/>
      <c r="J120" s="5"/>
      <c r="K120" s="5"/>
    </row>
    <row r="121" spans="2:11" ht="37.5" x14ac:dyDescent="0.25">
      <c r="B121" s="1046"/>
      <c r="C121" s="92"/>
      <c r="D121" s="45" t="s">
        <v>818</v>
      </c>
      <c r="E121" s="5"/>
      <c r="F121" s="5"/>
      <c r="G121" s="5"/>
      <c r="H121" s="5"/>
      <c r="I121" s="5"/>
      <c r="J121" s="5"/>
      <c r="K121" s="5"/>
    </row>
    <row r="122" spans="2:11" ht="37.5" x14ac:dyDescent="0.25">
      <c r="B122" s="1046"/>
      <c r="C122" s="92"/>
      <c r="D122" s="45" t="s">
        <v>819</v>
      </c>
      <c r="E122" s="5"/>
      <c r="F122" s="5"/>
      <c r="G122" s="5"/>
      <c r="H122" s="5"/>
      <c r="I122" s="5"/>
      <c r="J122" s="5"/>
      <c r="K122" s="5"/>
    </row>
    <row r="123" spans="2:11" ht="37.5" x14ac:dyDescent="0.25">
      <c r="B123" s="1046"/>
      <c r="C123" s="92"/>
      <c r="D123" s="45" t="s">
        <v>820</v>
      </c>
      <c r="E123" s="5"/>
      <c r="F123" s="5"/>
      <c r="G123" s="5"/>
      <c r="H123" s="5"/>
      <c r="I123" s="5"/>
      <c r="J123" s="5"/>
      <c r="K123" s="5"/>
    </row>
    <row r="124" spans="2:11" ht="37.5" x14ac:dyDescent="0.25">
      <c r="B124" s="1046"/>
      <c r="C124" s="92"/>
      <c r="D124" s="45" t="s">
        <v>821</v>
      </c>
      <c r="E124" s="5"/>
      <c r="F124" s="5"/>
      <c r="G124" s="5"/>
      <c r="H124" s="5"/>
      <c r="I124" s="5"/>
      <c r="J124" s="5"/>
      <c r="K124" s="5"/>
    </row>
    <row r="125" spans="2:11" x14ac:dyDescent="0.25">
      <c r="B125" s="1046"/>
      <c r="C125" s="92"/>
      <c r="D125" s="45" t="s">
        <v>822</v>
      </c>
      <c r="E125" s="5"/>
      <c r="F125" s="5"/>
      <c r="G125" s="5"/>
      <c r="H125" s="5"/>
      <c r="I125" s="5"/>
      <c r="J125" s="5"/>
      <c r="K125" s="5"/>
    </row>
    <row r="126" spans="2:11" x14ac:dyDescent="0.25">
      <c r="B126" s="1046"/>
      <c r="C126" s="92"/>
      <c r="D126" s="45" t="s">
        <v>823</v>
      </c>
      <c r="E126" s="5"/>
      <c r="F126" s="5"/>
      <c r="G126" s="5"/>
      <c r="H126" s="5"/>
      <c r="I126" s="5"/>
      <c r="J126" s="5"/>
      <c r="K126" s="5"/>
    </row>
    <row r="127" spans="2:11" x14ac:dyDescent="0.25">
      <c r="B127" s="1046"/>
      <c r="C127" s="92"/>
      <c r="D127" s="45" t="s">
        <v>824</v>
      </c>
      <c r="E127" s="5"/>
      <c r="F127" s="5"/>
      <c r="G127" s="5"/>
      <c r="H127" s="5"/>
      <c r="I127" s="5"/>
      <c r="J127" s="5"/>
      <c r="K127" s="5"/>
    </row>
    <row r="128" spans="2:11" x14ac:dyDescent="0.25">
      <c r="B128" s="1046"/>
      <c r="C128" s="92"/>
      <c r="D128" s="45" t="s">
        <v>825</v>
      </c>
      <c r="E128" s="5"/>
      <c r="F128" s="5"/>
      <c r="G128" s="5"/>
      <c r="H128" s="5"/>
      <c r="I128" s="5"/>
      <c r="J128" s="5"/>
      <c r="K128" s="5"/>
    </row>
    <row r="129" spans="2:11" ht="84" x14ac:dyDescent="0.25">
      <c r="B129" s="1046"/>
      <c r="C129" s="92"/>
      <c r="D129" s="53" t="s">
        <v>235</v>
      </c>
      <c r="E129" s="5"/>
      <c r="F129" s="5"/>
      <c r="G129" s="5"/>
      <c r="H129" s="5"/>
      <c r="I129" s="5"/>
      <c r="J129" s="5"/>
      <c r="K129" s="5"/>
    </row>
    <row r="130" spans="2:11" x14ac:dyDescent="0.25">
      <c r="B130" s="1046"/>
      <c r="C130" s="92"/>
      <c r="D130" s="45" t="s">
        <v>246</v>
      </c>
      <c r="E130" s="5"/>
      <c r="F130" s="5"/>
      <c r="G130" s="5"/>
      <c r="H130" s="5"/>
      <c r="I130" s="5"/>
      <c r="J130" s="5"/>
      <c r="K130" s="5"/>
    </row>
    <row r="131" spans="2:11" ht="48" x14ac:dyDescent="0.25">
      <c r="B131" s="1046"/>
      <c r="C131" s="92"/>
      <c r="D131" s="52" t="s">
        <v>826</v>
      </c>
      <c r="E131" s="5"/>
      <c r="F131" s="5"/>
      <c r="G131" s="5"/>
      <c r="H131" s="5"/>
      <c r="I131" s="5"/>
      <c r="J131" s="5"/>
      <c r="K131" s="5"/>
    </row>
    <row r="132" spans="2:11" x14ac:dyDescent="0.25">
      <c r="B132" s="1046"/>
      <c r="C132" s="92"/>
      <c r="D132" s="16"/>
      <c r="E132" s="5"/>
      <c r="F132" s="5"/>
      <c r="G132" s="5"/>
      <c r="H132" s="5"/>
      <c r="I132" s="5"/>
      <c r="J132" s="5"/>
      <c r="K132" s="5"/>
    </row>
    <row r="133" spans="2:11" x14ac:dyDescent="0.25">
      <c r="B133" s="1046"/>
      <c r="C133" s="92"/>
      <c r="D133" s="45" t="s">
        <v>91</v>
      </c>
      <c r="E133" s="5"/>
      <c r="F133" s="5"/>
      <c r="G133" s="5"/>
      <c r="H133" s="5"/>
      <c r="I133" s="5"/>
      <c r="J133" s="5"/>
      <c r="K133" s="5"/>
    </row>
    <row r="134" spans="2:11" ht="49.5" x14ac:dyDescent="0.25">
      <c r="B134" s="1046"/>
      <c r="C134" s="92"/>
      <c r="D134" s="45" t="s">
        <v>827</v>
      </c>
      <c r="E134" s="5"/>
      <c r="F134" s="5"/>
      <c r="G134" s="5"/>
      <c r="H134" s="5"/>
      <c r="I134" s="5"/>
      <c r="J134" s="5"/>
      <c r="K134" s="5"/>
    </row>
    <row r="135" spans="2:11" ht="49.5" x14ac:dyDescent="0.25">
      <c r="B135" s="1046"/>
      <c r="C135" s="92"/>
      <c r="D135" s="45" t="s">
        <v>828</v>
      </c>
      <c r="E135" s="5"/>
      <c r="F135" s="5"/>
      <c r="G135" s="5"/>
      <c r="H135" s="5"/>
      <c r="I135" s="5"/>
      <c r="J135" s="5"/>
      <c r="K135" s="5"/>
    </row>
    <row r="136" spans="2:11" ht="38.25" thickBot="1" x14ac:dyDescent="0.3">
      <c r="B136" s="1047"/>
      <c r="C136" s="2"/>
      <c r="D136" s="40" t="s">
        <v>829</v>
      </c>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mergeCells count="37">
    <mergeCell ref="B10:D10"/>
    <mergeCell ref="F10:S10"/>
    <mergeCell ref="F11:S11"/>
    <mergeCell ref="E12:R12"/>
    <mergeCell ref="E13:R13"/>
    <mergeCell ref="B118:B136"/>
    <mergeCell ref="B70:E71"/>
    <mergeCell ref="C22:C23"/>
    <mergeCell ref="B77:B92"/>
    <mergeCell ref="B93:B94"/>
    <mergeCell ref="D93:D94"/>
    <mergeCell ref="B95:B117"/>
    <mergeCell ref="C33:C35"/>
    <mergeCell ref="D33:D35"/>
    <mergeCell ref="B47:E47"/>
    <mergeCell ref="B48:B54"/>
    <mergeCell ref="B56:E56"/>
    <mergeCell ref="B57:B63"/>
    <mergeCell ref="F33:G33"/>
    <mergeCell ref="H33:H35"/>
    <mergeCell ref="E34:E35"/>
    <mergeCell ref="F34:F35"/>
    <mergeCell ref="D31:L31"/>
    <mergeCell ref="D32:L32"/>
    <mergeCell ref="B15:B19"/>
    <mergeCell ref="D21:L21"/>
    <mergeCell ref="D22:D23"/>
    <mergeCell ref="E22:E23"/>
    <mergeCell ref="F22:G22"/>
    <mergeCell ref="H22:K22"/>
    <mergeCell ref="D15:L15"/>
    <mergeCell ref="D20:L20"/>
    <mergeCell ref="A1:P1"/>
    <mergeCell ref="A2:P2"/>
    <mergeCell ref="A3:P3"/>
    <mergeCell ref="A4:D4"/>
    <mergeCell ref="A5:P5"/>
  </mergeCells>
  <conditionalFormatting sqref="D42">
    <cfRule type="containsText" dxfId="47" priority="5" operator="containsText" text="ERROR">
      <formula>NOT(ISERROR(SEARCH("ERROR",D42)))</formula>
    </cfRule>
  </conditionalFormatting>
  <conditionalFormatting sqref="F10">
    <cfRule type="notContainsBlanks" dxfId="46" priority="4">
      <formula>LEN(TRIM(F10))&gt;0</formula>
    </cfRule>
  </conditionalFormatting>
  <conditionalFormatting sqref="F11:S11">
    <cfRule type="expression" dxfId="45" priority="2">
      <formula>E11="NO SE REPORTA"</formula>
    </cfRule>
    <cfRule type="expression" dxfId="44" priority="3">
      <formula>E10="NO APLICA"</formula>
    </cfRule>
  </conditionalFormatting>
  <conditionalFormatting sqref="E12:R12">
    <cfRule type="expression" dxfId="43"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E18:H19 H24:K29">
      <formula1>0</formula1>
    </dataValidation>
    <dataValidation type="decimal" allowBlank="1" showInputMessage="1" showErrorMessage="1" errorTitle="ERROR" error="Escriba un valor entre 0% y 100%" sqref="E36:E41 F24:G29">
      <formula1>0</formula1>
      <formula2>1</formula2>
    </dataValidation>
    <dataValidation allowBlank="1" showInputMessage="1" showErrorMessage="1" sqref="H30:K30 F36:G42 D42:E42"/>
    <dataValidation type="list" allowBlank="1" showInputMessage="1" showErrorMessage="1" sqref="E11">
      <formula1>REPORTE</formula1>
    </dataValidation>
    <dataValidation type="list" allowBlank="1" showInputMessage="1" showErrorMessage="1" sqref="E10">
      <formula1>SI</formula1>
    </dataValidation>
  </dataValidations>
  <hyperlinks>
    <hyperlink ref="D92" r:id="rId1"/>
    <hyperlink ref="B9" location="'ANEXO 3'!A1" display="VOLVER AL INDICE"/>
    <hyperlink ref="E52" r:id="rId2"/>
  </hyperlinks>
  <pageMargins left="0.25" right="0.25" top="0.75" bottom="0.75" header="0.3" footer="0.3"/>
  <pageSetup paperSize="178" orientation="landscape" horizontalDpi="1200" verticalDpi="1200"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9"/>
  <sheetViews>
    <sheetView showGridLines="0" zoomScale="98" zoomScaleNormal="98" workbookViewId="0">
      <selection activeCell="O22" sqref="O22"/>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9" max="9" width="11.7109375" style="13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839</v>
      </c>
      <c r="B5" s="1008"/>
      <c r="C5" s="1008"/>
      <c r="D5" s="1008"/>
      <c r="E5" s="1008"/>
      <c r="F5" s="1008"/>
      <c r="G5" s="1008"/>
      <c r="H5" s="1008"/>
      <c r="I5" s="1008"/>
      <c r="J5" s="1008"/>
      <c r="K5" s="1008"/>
      <c r="L5" s="1008"/>
      <c r="M5" s="1008"/>
      <c r="N5" s="1008"/>
      <c r="O5" s="1008"/>
      <c r="P5" s="1009"/>
    </row>
    <row r="6" spans="1:21" x14ac:dyDescent="0.25">
      <c r="B6" s="3" t="s">
        <v>1</v>
      </c>
      <c r="C6" s="93"/>
      <c r="D6" s="5"/>
      <c r="E6" s="72"/>
      <c r="F6" s="5" t="s">
        <v>128</v>
      </c>
      <c r="G6" s="5"/>
      <c r="H6" s="5"/>
      <c r="I6" s="85"/>
      <c r="J6" s="5"/>
      <c r="K6" s="5"/>
    </row>
    <row r="7" spans="1:21" ht="15.75" thickBot="1" x14ac:dyDescent="0.3">
      <c r="B7" s="73"/>
      <c r="C7" s="75"/>
      <c r="D7" s="5"/>
      <c r="E7" s="17"/>
      <c r="F7" s="5" t="s">
        <v>129</v>
      </c>
      <c r="G7" s="5"/>
      <c r="H7" s="5"/>
      <c r="I7" s="85"/>
      <c r="J7" s="5"/>
      <c r="K7" s="5"/>
    </row>
    <row r="8" spans="1:21" ht="15.75" thickBot="1" x14ac:dyDescent="0.3">
      <c r="B8" s="169" t="s">
        <v>1192</v>
      </c>
      <c r="C8" s="209">
        <v>2022</v>
      </c>
      <c r="D8" s="214">
        <f>IF(E10="NO APLICA","NO APLICA",IF(E11="NO SE REPORTA","SIN INFORMACION",+G57))</f>
        <v>0.54983106413899685</v>
      </c>
      <c r="E8" s="210"/>
      <c r="F8" s="5" t="s">
        <v>130</v>
      </c>
      <c r="G8" s="5"/>
      <c r="H8" s="5"/>
      <c r="I8" s="85"/>
      <c r="J8" s="5"/>
      <c r="K8" s="5"/>
    </row>
    <row r="9" spans="1:21" x14ac:dyDescent="0.25">
      <c r="B9" s="363" t="s">
        <v>1193</v>
      </c>
      <c r="D9" s="5"/>
      <c r="E9" s="5"/>
      <c r="F9" s="5"/>
      <c r="G9" s="5"/>
      <c r="H9" s="5"/>
      <c r="I9" s="8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1930</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85"/>
      <c r="J14" s="5"/>
      <c r="K14" s="5"/>
    </row>
    <row r="15" spans="1:21" x14ac:dyDescent="0.25">
      <c r="B15" s="1045" t="s">
        <v>2</v>
      </c>
      <c r="C15" s="87"/>
      <c r="D15" s="1036" t="s">
        <v>3</v>
      </c>
      <c r="E15" s="1037"/>
      <c r="F15" s="1037"/>
      <c r="G15" s="1037"/>
      <c r="H15" s="1037"/>
      <c r="I15" s="1038"/>
      <c r="J15" s="5"/>
      <c r="K15" s="5"/>
    </row>
    <row r="16" spans="1:21" x14ac:dyDescent="0.25">
      <c r="B16" s="1046"/>
      <c r="C16" s="90"/>
      <c r="D16" s="1165" t="s">
        <v>866</v>
      </c>
      <c r="E16" s="1166"/>
      <c r="F16" s="1166"/>
      <c r="G16" s="1166"/>
      <c r="H16" s="1166"/>
      <c r="I16" s="1167"/>
      <c r="J16" s="5"/>
      <c r="K16" s="5"/>
    </row>
    <row r="17" spans="2:11" ht="15.75" thickBot="1" x14ac:dyDescent="0.3">
      <c r="B17" s="1046"/>
      <c r="C17" s="90"/>
      <c r="D17" s="1051"/>
      <c r="E17" s="1052"/>
      <c r="F17" s="1052"/>
      <c r="G17" s="1052"/>
      <c r="H17" s="1052"/>
      <c r="I17" s="1053"/>
      <c r="J17" s="5"/>
      <c r="K17" s="5"/>
    </row>
    <row r="18" spans="2:11" ht="15.75" thickBot="1" x14ac:dyDescent="0.3">
      <c r="B18" s="1046"/>
      <c r="C18" s="92"/>
      <c r="D18" s="42" t="s">
        <v>150</v>
      </c>
      <c r="E18" s="38" t="s">
        <v>20</v>
      </c>
      <c r="F18" s="38" t="s">
        <v>21</v>
      </c>
      <c r="G18" s="38" t="s">
        <v>22</v>
      </c>
      <c r="H18" s="38" t="s">
        <v>23</v>
      </c>
      <c r="I18" s="88" t="s">
        <v>151</v>
      </c>
      <c r="J18" s="5"/>
      <c r="K18" s="5"/>
    </row>
    <row r="19" spans="2:11" ht="36.75" thickBot="1" x14ac:dyDescent="0.3">
      <c r="B19" s="1046"/>
      <c r="C19" s="92"/>
      <c r="D19" s="40" t="s">
        <v>867</v>
      </c>
      <c r="E19" s="6">
        <v>306</v>
      </c>
      <c r="F19" s="6"/>
      <c r="G19" s="6"/>
      <c r="H19" s="6"/>
      <c r="I19" s="142">
        <f>SUM(E19:H19)</f>
        <v>306</v>
      </c>
      <c r="J19" s="5"/>
      <c r="K19" s="5"/>
    </row>
    <row r="20" spans="2:11" ht="24.75" thickBot="1" x14ac:dyDescent="0.3">
      <c r="B20" s="1046"/>
      <c r="C20" s="92"/>
      <c r="D20" s="40" t="s">
        <v>868</v>
      </c>
      <c r="E20" s="6">
        <v>4</v>
      </c>
      <c r="F20" s="6"/>
      <c r="G20" s="6"/>
      <c r="H20" s="6"/>
      <c r="I20" s="142">
        <f>SUM(E20:H20)</f>
        <v>4</v>
      </c>
      <c r="J20" s="5"/>
      <c r="K20" s="5"/>
    </row>
    <row r="21" spans="2:11" ht="36.75" thickBot="1" x14ac:dyDescent="0.3">
      <c r="B21" s="1046"/>
      <c r="C21" s="92"/>
      <c r="D21" s="40" t="s">
        <v>869</v>
      </c>
      <c r="E21" s="143">
        <f>+E19/E20</f>
        <v>76.5</v>
      </c>
      <c r="F21" s="143" t="e">
        <f>+F19/F20</f>
        <v>#DIV/0!</v>
      </c>
      <c r="G21" s="143" t="e">
        <f>+G19/G20</f>
        <v>#DIV/0!</v>
      </c>
      <c r="H21" s="143" t="e">
        <f>+H19/H20</f>
        <v>#DIV/0!</v>
      </c>
      <c r="I21" s="143">
        <f>+I19/I20</f>
        <v>76.5</v>
      </c>
      <c r="J21" s="5"/>
      <c r="K21" s="5"/>
    </row>
    <row r="22" spans="2:11" x14ac:dyDescent="0.25">
      <c r="B22" s="1046"/>
      <c r="C22" s="90"/>
      <c r="D22" s="1036"/>
      <c r="E22" s="1037"/>
      <c r="F22" s="1037"/>
      <c r="G22" s="1037"/>
      <c r="H22" s="1037"/>
      <c r="I22" s="1038"/>
      <c r="J22" s="5"/>
      <c r="K22" s="5"/>
    </row>
    <row r="23" spans="2:11" x14ac:dyDescent="0.25">
      <c r="B23" s="1046"/>
      <c r="C23" s="90"/>
      <c r="D23" s="1165" t="s">
        <v>870</v>
      </c>
      <c r="E23" s="1166"/>
      <c r="F23" s="1166"/>
      <c r="G23" s="1166"/>
      <c r="H23" s="1166"/>
      <c r="I23" s="1167"/>
      <c r="J23" s="5"/>
      <c r="K23" s="5"/>
    </row>
    <row r="24" spans="2:11" ht="15.75" thickBot="1" x14ac:dyDescent="0.3">
      <c r="B24" s="1046"/>
      <c r="C24" s="90"/>
      <c r="D24" s="1030"/>
      <c r="E24" s="1031"/>
      <c r="F24" s="1031"/>
      <c r="G24" s="1031"/>
      <c r="H24" s="1031"/>
      <c r="I24" s="1032"/>
      <c r="J24" s="5"/>
      <c r="K24" s="5"/>
    </row>
    <row r="25" spans="2:11" ht="15.75" thickBot="1" x14ac:dyDescent="0.3">
      <c r="B25" s="1046"/>
      <c r="C25" s="92"/>
      <c r="D25" s="42" t="s">
        <v>150</v>
      </c>
      <c r="E25" s="38" t="s">
        <v>20</v>
      </c>
      <c r="F25" s="38" t="s">
        <v>21</v>
      </c>
      <c r="G25" s="38" t="s">
        <v>22</v>
      </c>
      <c r="H25" s="38" t="s">
        <v>23</v>
      </c>
      <c r="I25" s="88" t="s">
        <v>151</v>
      </c>
      <c r="J25" s="5"/>
      <c r="K25" s="5"/>
    </row>
    <row r="26" spans="2:11" ht="36.75" thickBot="1" x14ac:dyDescent="0.3">
      <c r="B26" s="1046"/>
      <c r="C26" s="92"/>
      <c r="D26" s="40" t="s">
        <v>1828</v>
      </c>
      <c r="E26" s="6">
        <v>6342</v>
      </c>
      <c r="F26" s="6"/>
      <c r="G26" s="6"/>
      <c r="H26" s="6"/>
      <c r="I26" s="142">
        <f>SUM(E26:H26)</f>
        <v>6342</v>
      </c>
      <c r="J26" s="5"/>
      <c r="K26" s="5"/>
    </row>
    <row r="27" spans="2:11" ht="36.75" thickBot="1" x14ac:dyDescent="0.3">
      <c r="B27" s="1046"/>
      <c r="C27" s="92"/>
      <c r="D27" s="40" t="s">
        <v>871</v>
      </c>
      <c r="E27" s="6">
        <v>36</v>
      </c>
      <c r="F27" s="6"/>
      <c r="G27" s="6"/>
      <c r="H27" s="6"/>
      <c r="I27" s="142">
        <f>SUM(E27:H27)</f>
        <v>36</v>
      </c>
      <c r="J27" s="5"/>
      <c r="K27" s="5"/>
    </row>
    <row r="28" spans="2:11" ht="36.75" thickBot="1" x14ac:dyDescent="0.3">
      <c r="B28" s="1046"/>
      <c r="C28" s="92"/>
      <c r="D28" s="40" t="s">
        <v>872</v>
      </c>
      <c r="E28" s="143">
        <f>+E26/E27</f>
        <v>176.16666666666666</v>
      </c>
      <c r="F28" s="143" t="e">
        <f>+F26/F27</f>
        <v>#DIV/0!</v>
      </c>
      <c r="G28" s="143" t="e">
        <f>+G26/G27</f>
        <v>#DIV/0!</v>
      </c>
      <c r="H28" s="143" t="e">
        <f>+H26/H27</f>
        <v>#DIV/0!</v>
      </c>
      <c r="I28" s="143">
        <f>+I26/I27</f>
        <v>176.16666666666666</v>
      </c>
      <c r="J28" s="5"/>
      <c r="K28" s="5"/>
    </row>
    <row r="29" spans="2:11" x14ac:dyDescent="0.25">
      <c r="B29" s="1046"/>
      <c r="C29" s="90"/>
      <c r="D29" s="1036"/>
      <c r="E29" s="1037"/>
      <c r="F29" s="1037"/>
      <c r="G29" s="1037"/>
      <c r="H29" s="1037"/>
      <c r="I29" s="1038"/>
      <c r="J29" s="5"/>
      <c r="K29" s="5"/>
    </row>
    <row r="30" spans="2:11" x14ac:dyDescent="0.25">
      <c r="B30" s="1046"/>
      <c r="C30" s="90"/>
      <c r="D30" s="1165" t="s">
        <v>873</v>
      </c>
      <c r="E30" s="1166"/>
      <c r="F30" s="1166"/>
      <c r="G30" s="1166"/>
      <c r="H30" s="1166"/>
      <c r="I30" s="1167"/>
      <c r="J30" s="5"/>
      <c r="K30" s="5"/>
    </row>
    <row r="31" spans="2:11" ht="15.75" thickBot="1" x14ac:dyDescent="0.3">
      <c r="B31" s="1046"/>
      <c r="C31" s="90"/>
      <c r="D31" s="1051"/>
      <c r="E31" s="1052"/>
      <c r="F31" s="1052"/>
      <c r="G31" s="1052"/>
      <c r="H31" s="1052"/>
      <c r="I31" s="1053"/>
      <c r="J31" s="5"/>
      <c r="K31" s="5"/>
    </row>
    <row r="32" spans="2:11" ht="15.75" thickBot="1" x14ac:dyDescent="0.3">
      <c r="B32" s="1046"/>
      <c r="C32" s="92"/>
      <c r="D32" s="42" t="s">
        <v>150</v>
      </c>
      <c r="E32" s="38" t="s">
        <v>20</v>
      </c>
      <c r="F32" s="38" t="s">
        <v>21</v>
      </c>
      <c r="G32" s="38" t="s">
        <v>22</v>
      </c>
      <c r="H32" s="38" t="s">
        <v>23</v>
      </c>
      <c r="I32" s="88" t="s">
        <v>151</v>
      </c>
      <c r="J32" s="5"/>
      <c r="K32" s="5"/>
    </row>
    <row r="33" spans="2:11" ht="36.75" thickBot="1" x14ac:dyDescent="0.3">
      <c r="B33" s="1046"/>
      <c r="C33" s="92"/>
      <c r="D33" s="40" t="s">
        <v>874</v>
      </c>
      <c r="E33" s="6">
        <v>398</v>
      </c>
      <c r="F33" s="6"/>
      <c r="G33" s="6"/>
      <c r="H33" s="6"/>
      <c r="I33" s="142">
        <f>SUM(E33:H33)</f>
        <v>398</v>
      </c>
      <c r="J33" s="5"/>
      <c r="K33" s="5"/>
    </row>
    <row r="34" spans="2:11" ht="24.75" thickBot="1" x14ac:dyDescent="0.3">
      <c r="B34" s="1046"/>
      <c r="C34" s="92"/>
      <c r="D34" s="40" t="s">
        <v>875</v>
      </c>
      <c r="E34" s="6">
        <v>4</v>
      </c>
      <c r="F34" s="6"/>
      <c r="G34" s="6"/>
      <c r="H34" s="6"/>
      <c r="I34" s="142">
        <f>SUM(E34:H34)</f>
        <v>4</v>
      </c>
      <c r="J34" s="5"/>
      <c r="K34" s="5"/>
    </row>
    <row r="35" spans="2:11" ht="36.75" thickBot="1" x14ac:dyDescent="0.3">
      <c r="B35" s="1046"/>
      <c r="C35" s="92"/>
      <c r="D35" s="40" t="s">
        <v>876</v>
      </c>
      <c r="E35" s="143">
        <f>+E33/E34</f>
        <v>99.5</v>
      </c>
      <c r="F35" s="143" t="e">
        <f>+F33/F34</f>
        <v>#DIV/0!</v>
      </c>
      <c r="G35" s="143" t="e">
        <f>+G33/G34</f>
        <v>#DIV/0!</v>
      </c>
      <c r="H35" s="143" t="e">
        <f>+H33/H34</f>
        <v>#DIV/0!</v>
      </c>
      <c r="I35" s="143">
        <f>+I33/I34</f>
        <v>99.5</v>
      </c>
      <c r="J35" s="5"/>
      <c r="K35" s="5"/>
    </row>
    <row r="36" spans="2:11" x14ac:dyDescent="0.25">
      <c r="B36" s="1046"/>
      <c r="C36" s="90"/>
      <c r="D36" s="1036"/>
      <c r="E36" s="1037"/>
      <c r="F36" s="1037"/>
      <c r="G36" s="1037"/>
      <c r="H36" s="1037"/>
      <c r="I36" s="1038"/>
      <c r="J36" s="5"/>
      <c r="K36" s="5"/>
    </row>
    <row r="37" spans="2:11" x14ac:dyDescent="0.25">
      <c r="B37" s="1046"/>
      <c r="C37" s="90"/>
      <c r="D37" s="1165" t="s">
        <v>877</v>
      </c>
      <c r="E37" s="1166"/>
      <c r="F37" s="1166"/>
      <c r="G37" s="1166"/>
      <c r="H37" s="1166"/>
      <c r="I37" s="1167"/>
      <c r="J37" s="5"/>
      <c r="K37" s="5"/>
    </row>
    <row r="38" spans="2:11" ht="15.75" thickBot="1" x14ac:dyDescent="0.3">
      <c r="B38" s="1046"/>
      <c r="C38" s="90"/>
      <c r="D38" s="1051"/>
      <c r="E38" s="1052"/>
      <c r="F38" s="1052"/>
      <c r="G38" s="1052"/>
      <c r="H38" s="1052"/>
      <c r="I38" s="1053"/>
      <c r="J38" s="5"/>
      <c r="K38" s="5"/>
    </row>
    <row r="39" spans="2:11" ht="15.75" thickBot="1" x14ac:dyDescent="0.3">
      <c r="B39" s="1046"/>
      <c r="C39" s="92"/>
      <c r="D39" s="42" t="s">
        <v>150</v>
      </c>
      <c r="E39" s="38" t="s">
        <v>20</v>
      </c>
      <c r="F39" s="38" t="s">
        <v>21</v>
      </c>
      <c r="G39" s="38" t="s">
        <v>22</v>
      </c>
      <c r="H39" s="38" t="s">
        <v>23</v>
      </c>
      <c r="I39" s="88" t="s">
        <v>151</v>
      </c>
      <c r="J39" s="5"/>
      <c r="K39" s="5"/>
    </row>
    <row r="40" spans="2:11" ht="36.75" thickBot="1" x14ac:dyDescent="0.3">
      <c r="B40" s="1046"/>
      <c r="C40" s="92"/>
      <c r="D40" s="40" t="s">
        <v>878</v>
      </c>
      <c r="E40" s="6">
        <v>536</v>
      </c>
      <c r="F40" s="6"/>
      <c r="G40" s="6"/>
      <c r="H40" s="6"/>
      <c r="I40" s="142">
        <f>SUM(E40:H40)</f>
        <v>536</v>
      </c>
      <c r="J40" s="5"/>
      <c r="K40" s="5"/>
    </row>
    <row r="41" spans="2:11" ht="36.75" thickBot="1" x14ac:dyDescent="0.3">
      <c r="B41" s="1046"/>
      <c r="C41" s="92"/>
      <c r="D41" s="40" t="s">
        <v>879</v>
      </c>
      <c r="E41" s="6">
        <v>5</v>
      </c>
      <c r="F41" s="6"/>
      <c r="G41" s="6"/>
      <c r="H41" s="6"/>
      <c r="I41" s="142">
        <f>SUM(E41:H41)</f>
        <v>5</v>
      </c>
      <c r="J41" s="5"/>
      <c r="K41" s="5"/>
    </row>
    <row r="42" spans="2:11" ht="36.75" thickBot="1" x14ac:dyDescent="0.3">
      <c r="B42" s="1046"/>
      <c r="C42" s="92"/>
      <c r="D42" s="40" t="s">
        <v>880</v>
      </c>
      <c r="E42" s="143">
        <f>+E40/E41</f>
        <v>107.2</v>
      </c>
      <c r="F42" s="143" t="e">
        <f>+F40/F41</f>
        <v>#DIV/0!</v>
      </c>
      <c r="G42" s="143" t="e">
        <f>+G40/G41</f>
        <v>#DIV/0!</v>
      </c>
      <c r="H42" s="143" t="e">
        <f>+H40/H41</f>
        <v>#DIV/0!</v>
      </c>
      <c r="I42" s="143">
        <f>+I40/I41</f>
        <v>107.2</v>
      </c>
      <c r="J42" s="5"/>
      <c r="K42" s="5"/>
    </row>
    <row r="43" spans="2:11" x14ac:dyDescent="0.25">
      <c r="B43" s="1046"/>
      <c r="C43" s="90"/>
      <c r="D43" s="1036"/>
      <c r="E43" s="1037"/>
      <c r="F43" s="1037"/>
      <c r="G43" s="1037"/>
      <c r="H43" s="1037"/>
      <c r="I43" s="1038"/>
      <c r="J43" s="5"/>
      <c r="K43" s="5"/>
    </row>
    <row r="44" spans="2:11" x14ac:dyDescent="0.25">
      <c r="B44" s="1046"/>
      <c r="C44" s="90"/>
      <c r="D44" s="1165" t="s">
        <v>881</v>
      </c>
      <c r="E44" s="1166"/>
      <c r="F44" s="1166"/>
      <c r="G44" s="1166"/>
      <c r="H44" s="1166"/>
      <c r="I44" s="1167"/>
      <c r="J44" s="5"/>
      <c r="K44" s="5"/>
    </row>
    <row r="45" spans="2:11" ht="15.75" thickBot="1" x14ac:dyDescent="0.3">
      <c r="B45" s="1046"/>
      <c r="C45" s="90"/>
      <c r="D45" s="1051"/>
      <c r="E45" s="1052"/>
      <c r="F45" s="1052"/>
      <c r="G45" s="1052"/>
      <c r="H45" s="1052"/>
      <c r="I45" s="1053"/>
      <c r="J45" s="5"/>
      <c r="K45" s="5"/>
    </row>
    <row r="46" spans="2:11" ht="15.75" thickBot="1" x14ac:dyDescent="0.3">
      <c r="B46" s="1046"/>
      <c r="C46" s="92"/>
      <c r="D46" s="42" t="s">
        <v>150</v>
      </c>
      <c r="E46" s="38" t="s">
        <v>20</v>
      </c>
      <c r="F46" s="38" t="s">
        <v>21</v>
      </c>
      <c r="G46" s="38" t="s">
        <v>22</v>
      </c>
      <c r="H46" s="38" t="s">
        <v>23</v>
      </c>
      <c r="I46" s="88" t="s">
        <v>151</v>
      </c>
      <c r="J46" s="5"/>
      <c r="K46" s="5"/>
    </row>
    <row r="47" spans="2:11" ht="36.75" thickBot="1" x14ac:dyDescent="0.3">
      <c r="B47" s="1046"/>
      <c r="C47" s="92"/>
      <c r="D47" s="40" t="s">
        <v>882</v>
      </c>
      <c r="E47" s="6">
        <v>260</v>
      </c>
      <c r="F47" s="6"/>
      <c r="G47" s="6"/>
      <c r="H47" s="6"/>
      <c r="I47" s="142">
        <f>SUM(E47:H47)</f>
        <v>260</v>
      </c>
      <c r="J47" s="5"/>
      <c r="K47" s="5"/>
    </row>
    <row r="48" spans="2:11" ht="36.75" thickBot="1" x14ac:dyDescent="0.3">
      <c r="B48" s="1046"/>
      <c r="C48" s="92"/>
      <c r="D48" s="40" t="s">
        <v>883</v>
      </c>
      <c r="E48" s="6">
        <v>2</v>
      </c>
      <c r="F48" s="6"/>
      <c r="G48" s="6"/>
      <c r="H48" s="6"/>
      <c r="I48" s="142">
        <f>SUM(E48:H48)</f>
        <v>2</v>
      </c>
      <c r="J48" s="5"/>
      <c r="K48" s="5"/>
    </row>
    <row r="49" spans="2:11" ht="36.75" thickBot="1" x14ac:dyDescent="0.3">
      <c r="B49" s="1047"/>
      <c r="C49" s="2"/>
      <c r="D49" s="40" t="s">
        <v>884</v>
      </c>
      <c r="E49" s="143">
        <f>+E47/E48</f>
        <v>130</v>
      </c>
      <c r="F49" s="143" t="e">
        <f>+F47/F48</f>
        <v>#DIV/0!</v>
      </c>
      <c r="G49" s="143" t="e">
        <f>+G47/G48</f>
        <v>#DIV/0!</v>
      </c>
      <c r="H49" s="143" t="e">
        <f>+H47/H48</f>
        <v>#DIV/0!</v>
      </c>
      <c r="I49" s="143">
        <f>+I47/I48</f>
        <v>130</v>
      </c>
      <c r="J49" s="5"/>
      <c r="K49" s="5"/>
    </row>
    <row r="50" spans="2:11" ht="15.75" thickBot="1" x14ac:dyDescent="0.3">
      <c r="C50"/>
      <c r="I50"/>
    </row>
    <row r="51" spans="2:11" ht="24.75" thickBot="1" x14ac:dyDescent="0.3">
      <c r="C51"/>
      <c r="D51" s="51" t="s">
        <v>1239</v>
      </c>
      <c r="E51" s="51" t="s">
        <v>1242</v>
      </c>
      <c r="F51" s="51" t="s">
        <v>1243</v>
      </c>
      <c r="G51" s="317" t="s">
        <v>1244</v>
      </c>
      <c r="I51"/>
    </row>
    <row r="52" spans="2:11" ht="15.75" thickBot="1" x14ac:dyDescent="0.3">
      <c r="C52"/>
      <c r="D52" s="51" t="str">
        <f>+D16</f>
        <v>Licencias ambientales</v>
      </c>
      <c r="E52" s="143">
        <f>+E21</f>
        <v>76.5</v>
      </c>
      <c r="F52" s="347">
        <v>60</v>
      </c>
      <c r="G52" s="183">
        <f>IF(F52/E52&gt;1,1,F52/E52)</f>
        <v>0.78431372549019607</v>
      </c>
      <c r="I52"/>
    </row>
    <row r="53" spans="2:11" ht="15.75" thickBot="1" x14ac:dyDescent="0.3">
      <c r="C53"/>
      <c r="D53" s="51" t="str">
        <f>+D23</f>
        <v>Concesiones de agua</v>
      </c>
      <c r="E53" s="143">
        <f>+E28</f>
        <v>176.16666666666666</v>
      </c>
      <c r="F53" s="347">
        <v>60</v>
      </c>
      <c r="G53" s="183">
        <f>IF(F53/E53&gt;1,1,F53/E53)</f>
        <v>0.3405865657521287</v>
      </c>
      <c r="I53"/>
    </row>
    <row r="54" spans="2:11" ht="15.75" thickBot="1" x14ac:dyDescent="0.3">
      <c r="C54"/>
      <c r="D54" s="51" t="str">
        <f>+D30</f>
        <v>Permisos de vertimiento de agua</v>
      </c>
      <c r="E54" s="143">
        <f>+E35</f>
        <v>99.5</v>
      </c>
      <c r="F54" s="347">
        <v>60</v>
      </c>
      <c r="G54" s="183">
        <f>IF(F54/E54&gt;1,1,F54/E54)</f>
        <v>0.60301507537688437</v>
      </c>
      <c r="I54"/>
    </row>
    <row r="55" spans="2:11" ht="15.75" thickBot="1" x14ac:dyDescent="0.3">
      <c r="C55"/>
      <c r="D55" s="51" t="str">
        <f>+D37</f>
        <v>Permisos de aprovechamiento forestal</v>
      </c>
      <c r="E55" s="143">
        <f>+E42</f>
        <v>107.2</v>
      </c>
      <c r="F55" s="347">
        <v>60</v>
      </c>
      <c r="G55" s="183">
        <f>IF(F55/E55&gt;1,1,F55/E55)</f>
        <v>0.55970149253731338</v>
      </c>
      <c r="I55"/>
    </row>
    <row r="56" spans="2:11" ht="15.75" thickBot="1" x14ac:dyDescent="0.3">
      <c r="C56"/>
      <c r="D56" s="51" t="str">
        <f>+D44</f>
        <v>Permisos de emisiones atmosféricas</v>
      </c>
      <c r="E56" s="143">
        <f>+E49</f>
        <v>130</v>
      </c>
      <c r="F56" s="347">
        <v>60</v>
      </c>
      <c r="G56" s="183">
        <f>IF(F56/E56&gt;1,1,F56/E56)</f>
        <v>0.46153846153846156</v>
      </c>
      <c r="I56"/>
    </row>
    <row r="57" spans="2:11" ht="24.75" thickBot="1" x14ac:dyDescent="0.3">
      <c r="C57"/>
      <c r="D57" s="51" t="s">
        <v>1238</v>
      </c>
      <c r="E57" s="143">
        <f>AVERAGE(E52:E56)</f>
        <v>117.87333333333331</v>
      </c>
      <c r="F57" s="143">
        <f>AVERAGE(F52:F56)</f>
        <v>60</v>
      </c>
      <c r="G57" s="183">
        <f>AVERAGE(G52:G56)</f>
        <v>0.54983106413899685</v>
      </c>
      <c r="I57"/>
    </row>
    <row r="58" spans="2:11" x14ac:dyDescent="0.25">
      <c r="C58"/>
      <c r="I58"/>
    </row>
    <row r="59" spans="2:11" ht="15.75" thickBot="1" x14ac:dyDescent="0.3">
      <c r="C59"/>
      <c r="I59"/>
    </row>
    <row r="60" spans="2:11" ht="60" customHeight="1" thickBot="1" x14ac:dyDescent="0.3">
      <c r="B60" s="51" t="s">
        <v>34</v>
      </c>
      <c r="C60" s="201"/>
      <c r="D60" s="1048" t="s">
        <v>885</v>
      </c>
      <c r="E60" s="1049"/>
      <c r="F60" s="1049"/>
      <c r="G60" s="1049"/>
      <c r="H60" s="1049"/>
      <c r="I60" s="1050"/>
      <c r="J60" s="5"/>
      <c r="K60" s="5"/>
    </row>
    <row r="61" spans="2:11" ht="36" customHeight="1" thickBot="1" x14ac:dyDescent="0.3">
      <c r="B61" s="46" t="s">
        <v>36</v>
      </c>
      <c r="C61" s="91"/>
      <c r="D61" s="1048" t="s">
        <v>159</v>
      </c>
      <c r="E61" s="1049"/>
      <c r="F61" s="1049"/>
      <c r="G61" s="1049"/>
      <c r="H61" s="1049"/>
      <c r="I61" s="1050"/>
      <c r="J61" s="5"/>
      <c r="K61" s="5"/>
    </row>
    <row r="62" spans="2:11" ht="15.75" thickBot="1" x14ac:dyDescent="0.3">
      <c r="B62" s="1"/>
      <c r="C62" s="74"/>
      <c r="D62" s="5"/>
      <c r="E62" s="5"/>
      <c r="F62" s="5"/>
      <c r="G62" s="5"/>
      <c r="H62" s="5"/>
      <c r="I62" s="85"/>
      <c r="J62" s="5"/>
      <c r="K62" s="5"/>
    </row>
    <row r="63" spans="2:11" ht="24" customHeight="1" thickBot="1" x14ac:dyDescent="0.3">
      <c r="B63" s="1054" t="s">
        <v>38</v>
      </c>
      <c r="C63" s="1055"/>
      <c r="D63" s="1055"/>
      <c r="E63" s="1056"/>
      <c r="F63" s="5"/>
      <c r="G63" s="5"/>
      <c r="H63" s="5"/>
      <c r="I63" s="85"/>
      <c r="J63" s="5"/>
      <c r="K63" s="5"/>
    </row>
    <row r="64" spans="2:11" ht="15.75" thickBot="1" x14ac:dyDescent="0.3">
      <c r="B64" s="1045">
        <v>1</v>
      </c>
      <c r="C64" s="92"/>
      <c r="D64" s="47" t="s">
        <v>39</v>
      </c>
      <c r="E64" s="30" t="s">
        <v>1771</v>
      </c>
      <c r="F64" s="5"/>
      <c r="G64" s="5"/>
      <c r="H64" s="5"/>
      <c r="I64" s="85"/>
      <c r="J64" s="5"/>
      <c r="K64" s="5"/>
    </row>
    <row r="65" spans="2:11" ht="15.75" thickBot="1" x14ac:dyDescent="0.3">
      <c r="B65" s="1046"/>
      <c r="C65" s="92"/>
      <c r="D65" s="40" t="s">
        <v>40</v>
      </c>
      <c r="E65" s="30" t="s">
        <v>1776</v>
      </c>
      <c r="F65" s="5"/>
      <c r="G65" s="5"/>
      <c r="H65" s="5"/>
      <c r="I65" s="85"/>
      <c r="J65" s="5"/>
      <c r="K65" s="5"/>
    </row>
    <row r="66" spans="2:11" ht="15.75" thickBot="1" x14ac:dyDescent="0.3">
      <c r="B66" s="1046"/>
      <c r="C66" s="92"/>
      <c r="D66" s="40" t="s">
        <v>41</v>
      </c>
      <c r="E66" s="30" t="s">
        <v>1777</v>
      </c>
      <c r="F66" s="5"/>
      <c r="G66" s="5"/>
      <c r="H66" s="5"/>
      <c r="I66" s="85"/>
      <c r="J66" s="5"/>
      <c r="K66" s="5"/>
    </row>
    <row r="67" spans="2:11" ht="15.75" thickBot="1" x14ac:dyDescent="0.3">
      <c r="B67" s="1046"/>
      <c r="C67" s="92"/>
      <c r="D67" s="40" t="s">
        <v>42</v>
      </c>
      <c r="E67" s="30" t="s">
        <v>1778</v>
      </c>
      <c r="F67" s="5"/>
      <c r="G67" s="5"/>
      <c r="H67" s="5"/>
      <c r="I67" s="85"/>
      <c r="J67" s="5"/>
      <c r="K67" s="5"/>
    </row>
    <row r="68" spans="2:11" ht="15.75" thickBot="1" x14ac:dyDescent="0.3">
      <c r="B68" s="1046"/>
      <c r="C68" s="92"/>
      <c r="D68" s="40" t="s">
        <v>43</v>
      </c>
      <c r="E68" s="515" t="s">
        <v>1779</v>
      </c>
      <c r="F68" s="5"/>
      <c r="G68" s="5"/>
      <c r="H68" s="5"/>
      <c r="I68" s="85"/>
      <c r="J68" s="5"/>
      <c r="K68" s="5"/>
    </row>
    <row r="69" spans="2:11" ht="15.75" thickBot="1" x14ac:dyDescent="0.3">
      <c r="B69" s="1046"/>
      <c r="C69" s="92"/>
      <c r="D69" s="40" t="s">
        <v>44</v>
      </c>
      <c r="E69" s="30">
        <v>4380200</v>
      </c>
      <c r="F69" s="5"/>
      <c r="G69" s="5"/>
      <c r="H69" s="5"/>
      <c r="I69" s="85"/>
      <c r="J69" s="5"/>
      <c r="K69" s="5"/>
    </row>
    <row r="70" spans="2:11" ht="15.75" thickBot="1" x14ac:dyDescent="0.3">
      <c r="B70" s="1047"/>
      <c r="C70" s="2"/>
      <c r="D70" s="40" t="s">
        <v>45</v>
      </c>
      <c r="E70" s="30" t="s">
        <v>1773</v>
      </c>
      <c r="F70" s="5"/>
      <c r="G70" s="5"/>
      <c r="H70" s="5"/>
      <c r="I70" s="85"/>
      <c r="J70" s="5"/>
      <c r="K70" s="5"/>
    </row>
    <row r="71" spans="2:11" ht="15.75" thickBot="1" x14ac:dyDescent="0.3">
      <c r="B71" s="1"/>
      <c r="C71" s="74"/>
      <c r="D71" s="5"/>
      <c r="E71" s="5"/>
      <c r="F71" s="5"/>
      <c r="G71" s="5"/>
      <c r="H71" s="5"/>
      <c r="I71" s="85"/>
      <c r="J71" s="5"/>
      <c r="K71" s="5"/>
    </row>
    <row r="72" spans="2:11" ht="15.75" thickBot="1" x14ac:dyDescent="0.3">
      <c r="B72" s="1054" t="s">
        <v>46</v>
      </c>
      <c r="C72" s="1055"/>
      <c r="D72" s="1055"/>
      <c r="E72" s="1056"/>
      <c r="F72" s="5"/>
      <c r="G72" s="5"/>
      <c r="H72" s="5"/>
      <c r="I72" s="85"/>
      <c r="J72" s="5"/>
      <c r="K72" s="5"/>
    </row>
    <row r="73" spans="2:11" ht="15.75" thickBot="1" x14ac:dyDescent="0.3">
      <c r="B73" s="1045">
        <v>1</v>
      </c>
      <c r="C73" s="92"/>
      <c r="D73" s="47" t="s">
        <v>39</v>
      </c>
      <c r="E73" s="124" t="s">
        <v>47</v>
      </c>
      <c r="F73" s="5"/>
      <c r="G73" s="5"/>
      <c r="H73" s="5"/>
      <c r="I73" s="85"/>
      <c r="J73" s="5"/>
      <c r="K73" s="5"/>
    </row>
    <row r="74" spans="2:11" ht="15.75" thickBot="1" x14ac:dyDescent="0.3">
      <c r="B74" s="1046"/>
      <c r="C74" s="92"/>
      <c r="D74" s="40" t="s">
        <v>40</v>
      </c>
      <c r="E74" s="124" t="s">
        <v>160</v>
      </c>
      <c r="F74" s="5"/>
      <c r="G74" s="5"/>
      <c r="H74" s="5"/>
      <c r="I74" s="85"/>
      <c r="J74" s="5"/>
      <c r="K74" s="5"/>
    </row>
    <row r="75" spans="2:11" ht="15.75" thickBot="1" x14ac:dyDescent="0.3">
      <c r="B75" s="1046"/>
      <c r="C75" s="92"/>
      <c r="D75" s="40" t="s">
        <v>41</v>
      </c>
      <c r="E75" s="167"/>
      <c r="F75" s="5"/>
      <c r="G75" s="5"/>
      <c r="H75" s="5"/>
      <c r="I75" s="85"/>
      <c r="J75" s="5"/>
      <c r="K75" s="5"/>
    </row>
    <row r="76" spans="2:11" ht="15.75" thickBot="1" x14ac:dyDescent="0.3">
      <c r="B76" s="1046"/>
      <c r="C76" s="92"/>
      <c r="D76" s="40" t="s">
        <v>42</v>
      </c>
      <c r="E76" s="167"/>
      <c r="F76" s="5"/>
      <c r="G76" s="5"/>
      <c r="H76" s="5"/>
      <c r="I76" s="85"/>
      <c r="J76" s="5"/>
      <c r="K76" s="5"/>
    </row>
    <row r="77" spans="2:11" ht="15.75" thickBot="1" x14ac:dyDescent="0.3">
      <c r="B77" s="1046"/>
      <c r="C77" s="92"/>
      <c r="D77" s="40" t="s">
        <v>43</v>
      </c>
      <c r="E77" s="167"/>
      <c r="F77" s="5"/>
      <c r="G77" s="5"/>
      <c r="H77" s="5"/>
      <c r="I77" s="85"/>
      <c r="J77" s="5"/>
      <c r="K77" s="5"/>
    </row>
    <row r="78" spans="2:11" ht="15.75" thickBot="1" x14ac:dyDescent="0.3">
      <c r="B78" s="1046"/>
      <c r="C78" s="92"/>
      <c r="D78" s="40" t="s">
        <v>44</v>
      </c>
      <c r="E78" s="167"/>
      <c r="F78" s="5"/>
      <c r="G78" s="5"/>
      <c r="H78" s="5"/>
      <c r="I78" s="85"/>
      <c r="J78" s="5"/>
      <c r="K78" s="5"/>
    </row>
    <row r="79" spans="2:11" ht="15.75" thickBot="1" x14ac:dyDescent="0.3">
      <c r="B79" s="1047"/>
      <c r="C79" s="2"/>
      <c r="D79" s="40" t="s">
        <v>45</v>
      </c>
      <c r="E79" s="167"/>
      <c r="F79" s="5"/>
      <c r="G79" s="5"/>
      <c r="H79" s="5"/>
      <c r="I79" s="85"/>
      <c r="J79" s="5"/>
      <c r="K79" s="5"/>
    </row>
    <row r="80" spans="2:11" ht="15.75" thickBot="1" x14ac:dyDescent="0.3">
      <c r="B80" s="1"/>
      <c r="C80" s="74"/>
      <c r="D80" s="5"/>
      <c r="E80" s="5"/>
      <c r="F80" s="5"/>
      <c r="G80" s="5"/>
      <c r="H80" s="5"/>
      <c r="I80" s="85"/>
      <c r="J80" s="5"/>
      <c r="K80" s="5"/>
    </row>
    <row r="81" spans="2:11" ht="15" customHeight="1" thickBot="1" x14ac:dyDescent="0.3">
      <c r="B81" s="117" t="s">
        <v>49</v>
      </c>
      <c r="C81" s="118"/>
      <c r="D81" s="118"/>
      <c r="E81" s="119"/>
      <c r="G81" s="5"/>
      <c r="H81" s="5"/>
      <c r="I81" s="85"/>
      <c r="J81" s="5"/>
      <c r="K81" s="5"/>
    </row>
    <row r="82" spans="2:11" ht="24.75" thickBot="1" x14ac:dyDescent="0.3">
      <c r="B82" s="46" t="s">
        <v>50</v>
      </c>
      <c r="C82" s="40" t="s">
        <v>51</v>
      </c>
      <c r="D82" s="40" t="s">
        <v>52</v>
      </c>
      <c r="E82" s="40" t="s">
        <v>53</v>
      </c>
      <c r="F82" s="5"/>
      <c r="G82" s="5"/>
      <c r="H82" s="5"/>
      <c r="I82" s="85"/>
      <c r="J82" s="5"/>
    </row>
    <row r="83" spans="2:11" ht="72.75" thickBot="1" x14ac:dyDescent="0.3">
      <c r="B83" s="48">
        <v>42401</v>
      </c>
      <c r="C83" s="40">
        <v>0.01</v>
      </c>
      <c r="D83" s="49" t="s">
        <v>886</v>
      </c>
      <c r="E83" s="40"/>
      <c r="F83" s="5"/>
      <c r="G83" s="5"/>
      <c r="H83" s="5"/>
      <c r="I83" s="85"/>
      <c r="J83" s="5"/>
    </row>
    <row r="84" spans="2:11" ht="15.75" thickBot="1" x14ac:dyDescent="0.3">
      <c r="B84" s="1"/>
      <c r="C84" s="74"/>
      <c r="D84" s="5"/>
      <c r="E84" s="5"/>
      <c r="F84" s="5"/>
      <c r="G84" s="5"/>
      <c r="H84" s="5"/>
      <c r="I84" s="85"/>
      <c r="J84" s="5"/>
      <c r="K84" s="5"/>
    </row>
    <row r="85" spans="2:11" ht="15.75" thickBot="1" x14ac:dyDescent="0.3">
      <c r="B85" s="127" t="s">
        <v>55</v>
      </c>
      <c r="C85" s="94"/>
      <c r="D85" s="5"/>
      <c r="E85" s="5"/>
      <c r="F85" s="5"/>
      <c r="G85" s="5"/>
      <c r="H85" s="5"/>
      <c r="I85" s="85"/>
      <c r="J85" s="5"/>
      <c r="K85" s="5"/>
    </row>
    <row r="86" spans="2:11" x14ac:dyDescent="0.25">
      <c r="B86" s="1199"/>
      <c r="C86" s="1200"/>
      <c r="D86" s="1201"/>
      <c r="E86" s="5"/>
      <c r="F86" s="5"/>
      <c r="G86" s="5"/>
      <c r="H86" s="5"/>
      <c r="I86" s="85"/>
      <c r="J86" s="5"/>
      <c r="K86" s="5"/>
    </row>
    <row r="87" spans="2:11" ht="15.75" thickBot="1" x14ac:dyDescent="0.3">
      <c r="B87" s="1202"/>
      <c r="C87" s="1203"/>
      <c r="D87" s="1204"/>
      <c r="E87" s="5"/>
      <c r="F87" s="5"/>
      <c r="G87" s="5"/>
      <c r="H87" s="5"/>
      <c r="I87" s="85"/>
      <c r="J87" s="5"/>
      <c r="K87" s="5"/>
    </row>
    <row r="88" spans="2:11" ht="15.75" thickBot="1" x14ac:dyDescent="0.3">
      <c r="B88" s="5"/>
      <c r="D88" s="5"/>
      <c r="E88" s="5"/>
      <c r="F88" s="5"/>
      <c r="G88" s="5"/>
      <c r="H88" s="5"/>
      <c r="I88" s="85"/>
      <c r="J88" s="5"/>
      <c r="K88" s="5"/>
    </row>
    <row r="89" spans="2:11" ht="24.75" thickBot="1" x14ac:dyDescent="0.3">
      <c r="B89" s="50" t="s">
        <v>56</v>
      </c>
      <c r="C89" s="95"/>
      <c r="D89" s="5"/>
      <c r="E89" s="5"/>
      <c r="F89" s="5"/>
      <c r="G89" s="5"/>
      <c r="H89" s="5"/>
      <c r="I89" s="85"/>
      <c r="J89" s="5"/>
      <c r="K89" s="5"/>
    </row>
    <row r="90" spans="2:11" ht="15.75" thickBot="1" x14ac:dyDescent="0.3">
      <c r="B90" s="1"/>
      <c r="C90" s="74"/>
      <c r="D90" s="5"/>
      <c r="E90" s="5"/>
      <c r="F90" s="5"/>
      <c r="G90" s="5"/>
      <c r="H90" s="5"/>
      <c r="I90" s="85"/>
      <c r="J90" s="5"/>
      <c r="K90" s="5"/>
    </row>
    <row r="91" spans="2:11" ht="144" x14ac:dyDescent="0.25">
      <c r="B91" s="1045" t="s">
        <v>57</v>
      </c>
      <c r="C91" s="103"/>
      <c r="D91" s="62" t="s">
        <v>840</v>
      </c>
      <c r="E91" s="5"/>
      <c r="F91" s="5"/>
      <c r="G91" s="5"/>
      <c r="H91" s="5"/>
      <c r="I91" s="85"/>
      <c r="J91" s="5"/>
      <c r="K91" s="5"/>
    </row>
    <row r="92" spans="2:11" ht="120.75" thickBot="1" x14ac:dyDescent="0.3">
      <c r="B92" s="1047"/>
      <c r="C92" s="2"/>
      <c r="D92" s="40" t="s">
        <v>841</v>
      </c>
      <c r="E92" s="5"/>
      <c r="F92" s="5"/>
      <c r="G92" s="5"/>
      <c r="H92" s="5"/>
      <c r="I92" s="85"/>
      <c r="J92" s="5"/>
      <c r="K92" s="5"/>
    </row>
    <row r="93" spans="2:11" x14ac:dyDescent="0.25">
      <c r="B93" s="1045" t="s">
        <v>59</v>
      </c>
      <c r="C93" s="92"/>
      <c r="D93" s="52" t="s">
        <v>60</v>
      </c>
      <c r="E93" s="5"/>
      <c r="F93" s="5"/>
      <c r="G93" s="5"/>
      <c r="H93" s="5"/>
      <c r="I93" s="85"/>
      <c r="J93" s="5"/>
      <c r="K93" s="5"/>
    </row>
    <row r="94" spans="2:11" ht="108" x14ac:dyDescent="0.25">
      <c r="B94" s="1046"/>
      <c r="C94" s="92"/>
      <c r="D94" s="45" t="s">
        <v>842</v>
      </c>
      <c r="E94" s="5"/>
      <c r="F94" s="5"/>
      <c r="G94" s="5"/>
      <c r="H94" s="5"/>
      <c r="I94" s="85"/>
      <c r="J94" s="5"/>
      <c r="K94" s="5"/>
    </row>
    <row r="95" spans="2:11" x14ac:dyDescent="0.25">
      <c r="B95" s="1046"/>
      <c r="C95" s="92"/>
      <c r="D95" s="52" t="s">
        <v>134</v>
      </c>
      <c r="E95" s="5"/>
      <c r="F95" s="5"/>
      <c r="G95" s="5"/>
      <c r="H95" s="5"/>
      <c r="I95" s="85"/>
      <c r="J95" s="5"/>
      <c r="K95" s="5"/>
    </row>
    <row r="96" spans="2:11" x14ac:dyDescent="0.25">
      <c r="B96" s="1046"/>
      <c r="C96" s="92"/>
      <c r="D96" s="45" t="s">
        <v>64</v>
      </c>
      <c r="E96" s="5"/>
      <c r="F96" s="5"/>
      <c r="G96" s="5"/>
      <c r="H96" s="5"/>
      <c r="I96" s="85"/>
      <c r="J96" s="5"/>
      <c r="K96" s="5"/>
    </row>
    <row r="97" spans="2:11" x14ac:dyDescent="0.25">
      <c r="B97" s="1046"/>
      <c r="C97" s="92"/>
      <c r="D97" s="45" t="s">
        <v>65</v>
      </c>
      <c r="E97" s="5"/>
      <c r="F97" s="5"/>
      <c r="G97" s="5"/>
      <c r="H97" s="5"/>
      <c r="I97" s="85"/>
      <c r="J97" s="5"/>
      <c r="K97" s="5"/>
    </row>
    <row r="98" spans="2:11" x14ac:dyDescent="0.25">
      <c r="B98" s="1046"/>
      <c r="C98" s="92"/>
      <c r="D98" s="45" t="s">
        <v>843</v>
      </c>
      <c r="E98" s="5"/>
      <c r="F98" s="5"/>
      <c r="G98" s="5"/>
      <c r="H98" s="5"/>
      <c r="I98" s="85"/>
      <c r="J98" s="5"/>
      <c r="K98" s="5"/>
    </row>
    <row r="99" spans="2:11" ht="24" x14ac:dyDescent="0.25">
      <c r="B99" s="1046"/>
      <c r="C99" s="92"/>
      <c r="D99" s="45" t="s">
        <v>844</v>
      </c>
      <c r="E99" s="5"/>
      <c r="F99" s="5"/>
      <c r="G99" s="5"/>
      <c r="H99" s="5"/>
      <c r="I99" s="85"/>
      <c r="J99" s="5"/>
      <c r="K99" s="5"/>
    </row>
    <row r="100" spans="2:11" ht="24" x14ac:dyDescent="0.25">
      <c r="B100" s="1046"/>
      <c r="C100" s="92"/>
      <c r="D100" s="45" t="s">
        <v>845</v>
      </c>
      <c r="E100" s="5"/>
      <c r="F100" s="5"/>
      <c r="G100" s="5"/>
      <c r="H100" s="5"/>
      <c r="I100" s="85"/>
      <c r="J100" s="5"/>
      <c r="K100" s="5"/>
    </row>
    <row r="101" spans="2:11" ht="24" x14ac:dyDescent="0.25">
      <c r="B101" s="1046"/>
      <c r="C101" s="92"/>
      <c r="D101" s="45" t="s">
        <v>846</v>
      </c>
      <c r="E101" s="5"/>
      <c r="F101" s="5"/>
      <c r="G101" s="5"/>
      <c r="H101" s="5"/>
      <c r="I101" s="85"/>
      <c r="J101" s="5"/>
      <c r="K101" s="5"/>
    </row>
    <row r="102" spans="2:11" ht="48" x14ac:dyDescent="0.25">
      <c r="B102" s="1046"/>
      <c r="C102" s="92"/>
      <c r="D102" s="45" t="s">
        <v>847</v>
      </c>
      <c r="E102" s="5"/>
      <c r="F102" s="5"/>
      <c r="G102" s="5"/>
      <c r="H102" s="5"/>
      <c r="I102" s="85"/>
      <c r="J102" s="5"/>
      <c r="K102" s="5"/>
    </row>
    <row r="103" spans="2:11" ht="36.75" thickBot="1" x14ac:dyDescent="0.3">
      <c r="B103" s="1047"/>
      <c r="C103" s="2"/>
      <c r="D103" s="40" t="s">
        <v>848</v>
      </c>
      <c r="E103" s="5"/>
      <c r="F103" s="5"/>
      <c r="G103" s="5"/>
      <c r="H103" s="5"/>
      <c r="I103" s="85"/>
      <c r="J103" s="5"/>
      <c r="K103" s="5"/>
    </row>
    <row r="104" spans="2:11" ht="24.75" thickBot="1" x14ac:dyDescent="0.3">
      <c r="B104" s="46" t="s">
        <v>72</v>
      </c>
      <c r="C104" s="2"/>
      <c r="D104" s="40"/>
      <c r="E104" s="5"/>
      <c r="F104" s="5"/>
      <c r="G104" s="5"/>
      <c r="H104" s="5"/>
      <c r="I104" s="85"/>
      <c r="J104" s="5"/>
      <c r="K104" s="5"/>
    </row>
    <row r="105" spans="2:11" ht="252" x14ac:dyDescent="0.25">
      <c r="B105" s="1045" t="s">
        <v>73</v>
      </c>
      <c r="C105" s="92"/>
      <c r="D105" s="45" t="s">
        <v>849</v>
      </c>
      <c r="E105" s="5"/>
      <c r="F105" s="5"/>
      <c r="G105" s="5"/>
      <c r="H105" s="5"/>
      <c r="I105" s="85"/>
      <c r="J105" s="5"/>
      <c r="K105" s="5"/>
    </row>
    <row r="106" spans="2:11" ht="72" x14ac:dyDescent="0.25">
      <c r="B106" s="1046"/>
      <c r="C106" s="92"/>
      <c r="D106" s="45" t="s">
        <v>850</v>
      </c>
      <c r="E106" s="5"/>
      <c r="F106" s="5"/>
      <c r="G106" s="5"/>
      <c r="H106" s="5"/>
      <c r="I106" s="85"/>
      <c r="J106" s="5"/>
      <c r="K106" s="5"/>
    </row>
    <row r="107" spans="2:11" ht="72" x14ac:dyDescent="0.25">
      <c r="B107" s="1046"/>
      <c r="C107" s="92"/>
      <c r="D107" s="45" t="s">
        <v>851</v>
      </c>
      <c r="E107" s="5"/>
      <c r="F107" s="5"/>
      <c r="G107" s="5"/>
      <c r="H107" s="5"/>
      <c r="I107" s="85"/>
      <c r="J107" s="5"/>
      <c r="K107" s="5"/>
    </row>
    <row r="108" spans="2:11" ht="156" x14ac:dyDescent="0.25">
      <c r="B108" s="1046"/>
      <c r="C108" s="92"/>
      <c r="D108" s="45" t="s">
        <v>852</v>
      </c>
      <c r="E108" s="5"/>
      <c r="F108" s="5"/>
      <c r="G108" s="5"/>
      <c r="H108" s="5"/>
      <c r="I108" s="85"/>
      <c r="J108" s="5"/>
      <c r="K108" s="5"/>
    </row>
    <row r="109" spans="2:11" ht="168" x14ac:dyDescent="0.25">
      <c r="B109" s="1046"/>
      <c r="C109" s="92"/>
      <c r="D109" s="45" t="s">
        <v>853</v>
      </c>
      <c r="E109" s="5"/>
      <c r="F109" s="5"/>
      <c r="G109" s="5"/>
      <c r="H109" s="5"/>
      <c r="I109" s="85"/>
      <c r="J109" s="5"/>
      <c r="K109" s="5"/>
    </row>
    <row r="110" spans="2:11" ht="108" x14ac:dyDescent="0.25">
      <c r="B110" s="1046"/>
      <c r="C110" s="92"/>
      <c r="D110" s="45" t="s">
        <v>854</v>
      </c>
      <c r="E110" s="5"/>
      <c r="F110" s="5"/>
      <c r="G110" s="5"/>
      <c r="H110" s="5"/>
      <c r="I110" s="85"/>
      <c r="J110" s="5"/>
      <c r="K110" s="5"/>
    </row>
    <row r="111" spans="2:11" ht="60.75" thickBot="1" x14ac:dyDescent="0.3">
      <c r="B111" s="1047"/>
      <c r="C111" s="2"/>
      <c r="D111" s="40" t="s">
        <v>855</v>
      </c>
      <c r="E111" s="5"/>
      <c r="F111" s="5"/>
      <c r="G111" s="5"/>
      <c r="H111" s="5"/>
      <c r="I111" s="85"/>
      <c r="J111" s="5"/>
      <c r="K111" s="5"/>
    </row>
    <row r="112" spans="2:11" ht="36" x14ac:dyDescent="0.25">
      <c r="B112" s="1045" t="s">
        <v>90</v>
      </c>
      <c r="C112" s="92"/>
      <c r="D112" s="52" t="s">
        <v>839</v>
      </c>
      <c r="E112" s="5"/>
      <c r="F112" s="5"/>
      <c r="G112" s="5"/>
      <c r="H112" s="5"/>
      <c r="I112" s="85"/>
      <c r="J112" s="5"/>
      <c r="K112" s="5"/>
    </row>
    <row r="113" spans="2:11" x14ac:dyDescent="0.25">
      <c r="B113" s="1046"/>
      <c r="C113" s="92"/>
      <c r="D113" s="16"/>
      <c r="E113" s="5"/>
      <c r="F113" s="5"/>
      <c r="G113" s="5"/>
      <c r="H113" s="5"/>
      <c r="I113" s="85"/>
      <c r="J113" s="5"/>
      <c r="K113" s="5"/>
    </row>
    <row r="114" spans="2:11" x14ac:dyDescent="0.25">
      <c r="B114" s="1046"/>
      <c r="C114" s="92"/>
      <c r="D114" s="45" t="s">
        <v>91</v>
      </c>
      <c r="E114" s="5"/>
      <c r="F114" s="5"/>
      <c r="G114" s="5"/>
      <c r="H114" s="5"/>
      <c r="I114" s="85"/>
      <c r="J114" s="5"/>
      <c r="K114" s="5"/>
    </row>
    <row r="115" spans="2:11" ht="24" x14ac:dyDescent="0.25">
      <c r="B115" s="1046"/>
      <c r="C115" s="92"/>
      <c r="D115" s="45" t="s">
        <v>856</v>
      </c>
      <c r="E115" s="5"/>
      <c r="F115" s="5"/>
      <c r="G115" s="5"/>
      <c r="H115" s="5"/>
      <c r="I115" s="85"/>
      <c r="J115" s="5"/>
      <c r="K115" s="5"/>
    </row>
    <row r="116" spans="2:11" ht="24" x14ac:dyDescent="0.25">
      <c r="B116" s="1046"/>
      <c r="C116" s="92"/>
      <c r="D116" s="45" t="s">
        <v>857</v>
      </c>
      <c r="E116" s="5"/>
      <c r="F116" s="5"/>
      <c r="G116" s="5"/>
      <c r="H116" s="5"/>
      <c r="I116" s="85"/>
      <c r="J116" s="5"/>
      <c r="K116" s="5"/>
    </row>
    <row r="117" spans="2:11" ht="60" x14ac:dyDescent="0.25">
      <c r="B117" s="1046"/>
      <c r="C117" s="92"/>
      <c r="D117" s="45" t="s">
        <v>858</v>
      </c>
      <c r="E117" s="5"/>
      <c r="F117" s="5"/>
      <c r="G117" s="5"/>
      <c r="H117" s="5"/>
      <c r="I117" s="85"/>
      <c r="J117" s="5"/>
      <c r="K117" s="5"/>
    </row>
    <row r="118" spans="2:11" ht="60" x14ac:dyDescent="0.25">
      <c r="B118" s="1046"/>
      <c r="C118" s="92"/>
      <c r="D118" s="45" t="s">
        <v>859</v>
      </c>
      <c r="E118" s="5"/>
      <c r="F118" s="5"/>
      <c r="G118" s="5"/>
      <c r="H118" s="5"/>
      <c r="I118" s="85"/>
      <c r="J118" s="5"/>
      <c r="K118" s="5"/>
    </row>
    <row r="119" spans="2:11" ht="60" x14ac:dyDescent="0.25">
      <c r="B119" s="1046"/>
      <c r="C119" s="92"/>
      <c r="D119" s="57" t="s">
        <v>860</v>
      </c>
      <c r="E119" s="5"/>
      <c r="F119" s="5"/>
      <c r="G119" s="5"/>
      <c r="H119" s="5"/>
      <c r="I119" s="85"/>
      <c r="J119" s="5"/>
      <c r="K119" s="5"/>
    </row>
    <row r="120" spans="2:11" ht="36" x14ac:dyDescent="0.25">
      <c r="B120" s="1046"/>
      <c r="C120" s="92"/>
      <c r="D120" s="45" t="s">
        <v>861</v>
      </c>
      <c r="E120" s="5"/>
      <c r="F120" s="5"/>
      <c r="G120" s="5"/>
      <c r="H120" s="5"/>
      <c r="I120" s="85"/>
      <c r="J120" s="5"/>
      <c r="K120" s="5"/>
    </row>
    <row r="121" spans="2:11" ht="36" x14ac:dyDescent="0.25">
      <c r="B121" s="1046"/>
      <c r="C121" s="92"/>
      <c r="D121" s="45" t="s">
        <v>862</v>
      </c>
      <c r="E121" s="5"/>
      <c r="F121" s="5"/>
      <c r="G121" s="5"/>
      <c r="H121" s="5"/>
      <c r="I121" s="85"/>
      <c r="J121" s="5"/>
      <c r="K121" s="5"/>
    </row>
    <row r="122" spans="2:11" ht="36" x14ac:dyDescent="0.25">
      <c r="B122" s="1046"/>
      <c r="C122" s="92"/>
      <c r="D122" s="45" t="s">
        <v>863</v>
      </c>
      <c r="E122" s="5"/>
      <c r="F122" s="5"/>
      <c r="G122" s="5"/>
      <c r="H122" s="5"/>
      <c r="I122" s="85"/>
      <c r="J122" s="5"/>
      <c r="K122" s="5"/>
    </row>
    <row r="123" spans="2:11" ht="36" x14ac:dyDescent="0.25">
      <c r="B123" s="1046"/>
      <c r="C123" s="92"/>
      <c r="D123" s="45" t="s">
        <v>864</v>
      </c>
      <c r="E123" s="5"/>
      <c r="F123" s="5"/>
      <c r="G123" s="5"/>
      <c r="H123" s="5"/>
      <c r="I123" s="85"/>
      <c r="J123" s="5"/>
      <c r="K123" s="5"/>
    </row>
    <row r="124" spans="2:11" ht="36.75" thickBot="1" x14ac:dyDescent="0.3">
      <c r="B124" s="1047"/>
      <c r="C124" s="2"/>
      <c r="D124" s="40" t="s">
        <v>865</v>
      </c>
      <c r="E124" s="5"/>
      <c r="F124" s="5"/>
      <c r="G124" s="5"/>
      <c r="H124" s="5"/>
      <c r="I124" s="85"/>
      <c r="J124" s="5"/>
      <c r="K124" s="5"/>
    </row>
    <row r="125" spans="2:11" x14ac:dyDescent="0.25">
      <c r="B125" s="5"/>
      <c r="D125" s="5"/>
      <c r="E125" s="5"/>
      <c r="F125" s="5"/>
      <c r="G125" s="5"/>
      <c r="H125" s="5"/>
      <c r="I125" s="85"/>
      <c r="J125" s="5"/>
      <c r="K125" s="5"/>
    </row>
    <row r="126" spans="2:11" x14ac:dyDescent="0.25">
      <c r="B126" s="5"/>
      <c r="D126" s="5"/>
      <c r="E126" s="5"/>
      <c r="F126" s="5"/>
      <c r="G126" s="5"/>
      <c r="H126" s="5"/>
      <c r="I126" s="85"/>
      <c r="J126" s="5"/>
      <c r="K126" s="5"/>
    </row>
    <row r="127" spans="2:11" x14ac:dyDescent="0.25">
      <c r="B127" s="5"/>
      <c r="D127" s="5"/>
      <c r="E127" s="5"/>
      <c r="F127" s="5"/>
      <c r="G127" s="5"/>
      <c r="H127" s="5"/>
      <c r="I127" s="85"/>
      <c r="J127" s="5"/>
      <c r="K127" s="5"/>
    </row>
    <row r="128" spans="2:11" x14ac:dyDescent="0.25">
      <c r="B128" s="5"/>
      <c r="D128" s="5"/>
      <c r="E128" s="5"/>
      <c r="F128" s="5"/>
      <c r="G128" s="5"/>
      <c r="H128" s="5"/>
      <c r="I128" s="85"/>
      <c r="J128" s="5"/>
      <c r="K128" s="5"/>
    </row>
    <row r="129" spans="2:11" x14ac:dyDescent="0.25">
      <c r="B129" s="5"/>
      <c r="D129" s="5"/>
      <c r="E129" s="5"/>
      <c r="F129" s="5"/>
      <c r="G129" s="5"/>
      <c r="H129" s="5"/>
      <c r="I129" s="85"/>
      <c r="J129" s="5"/>
      <c r="K129" s="5"/>
    </row>
    <row r="130" spans="2:11" x14ac:dyDescent="0.25">
      <c r="B130" s="5"/>
      <c r="D130" s="5"/>
      <c r="E130" s="5"/>
      <c r="F130" s="5"/>
      <c r="G130" s="5"/>
      <c r="H130" s="5"/>
      <c r="I130" s="85"/>
      <c r="J130" s="5"/>
      <c r="K130" s="5"/>
    </row>
    <row r="131" spans="2:11" x14ac:dyDescent="0.25">
      <c r="B131" s="5"/>
      <c r="D131" s="5"/>
      <c r="E131" s="5"/>
      <c r="F131" s="5"/>
      <c r="G131" s="5"/>
      <c r="H131" s="5"/>
      <c r="I131" s="85"/>
      <c r="J131" s="5"/>
      <c r="K131" s="5"/>
    </row>
    <row r="132" spans="2:11" x14ac:dyDescent="0.25">
      <c r="B132" s="5"/>
      <c r="D132" s="5"/>
      <c r="E132" s="5"/>
      <c r="F132" s="5"/>
      <c r="G132" s="5"/>
      <c r="H132" s="5"/>
      <c r="I132" s="85"/>
      <c r="J132" s="5"/>
      <c r="K132" s="5"/>
    </row>
    <row r="133" spans="2:11" x14ac:dyDescent="0.25">
      <c r="B133" s="5"/>
      <c r="D133" s="5"/>
      <c r="E133" s="5"/>
      <c r="F133" s="5"/>
      <c r="G133" s="5"/>
      <c r="H133" s="5"/>
      <c r="I133" s="85"/>
      <c r="J133" s="5"/>
      <c r="K133" s="5"/>
    </row>
    <row r="134" spans="2:11" x14ac:dyDescent="0.25">
      <c r="B134" s="5"/>
      <c r="D134" s="5"/>
      <c r="E134" s="5"/>
      <c r="F134" s="5"/>
      <c r="G134" s="5"/>
      <c r="H134" s="5"/>
      <c r="I134" s="85"/>
      <c r="J134" s="5"/>
      <c r="K134" s="5"/>
    </row>
    <row r="135" spans="2:11" x14ac:dyDescent="0.25">
      <c r="B135" s="5"/>
      <c r="D135" s="5"/>
      <c r="E135" s="5"/>
      <c r="F135" s="5"/>
      <c r="G135" s="5"/>
      <c r="H135" s="5"/>
      <c r="I135" s="85"/>
      <c r="J135" s="5"/>
      <c r="K135" s="5"/>
    </row>
    <row r="136" spans="2:11" x14ac:dyDescent="0.25">
      <c r="B136" s="5"/>
      <c r="D136" s="5"/>
      <c r="E136" s="5"/>
      <c r="F136" s="5"/>
      <c r="G136" s="5"/>
      <c r="H136" s="5"/>
      <c r="I136" s="85"/>
      <c r="J136" s="5"/>
      <c r="K136" s="5"/>
    </row>
    <row r="137" spans="2:11" x14ac:dyDescent="0.25">
      <c r="B137" s="5"/>
      <c r="D137" s="5"/>
      <c r="E137" s="5"/>
      <c r="F137" s="5"/>
      <c r="G137" s="5"/>
      <c r="H137" s="5"/>
      <c r="I137" s="85"/>
      <c r="J137" s="5"/>
      <c r="K137" s="5"/>
    </row>
    <row r="138" spans="2:11" x14ac:dyDescent="0.25">
      <c r="B138" s="5"/>
      <c r="D138" s="5"/>
      <c r="E138" s="5"/>
      <c r="F138" s="5"/>
      <c r="G138" s="5"/>
      <c r="H138" s="5"/>
      <c r="I138" s="85"/>
      <c r="J138" s="5"/>
      <c r="K138" s="5"/>
    </row>
    <row r="139" spans="2:11" x14ac:dyDescent="0.25">
      <c r="B139" s="5"/>
      <c r="D139" s="5"/>
      <c r="E139" s="5"/>
      <c r="F139" s="5"/>
      <c r="G139" s="5"/>
      <c r="H139" s="5"/>
      <c r="I139" s="85"/>
      <c r="J139" s="5"/>
      <c r="K139" s="5"/>
    </row>
    <row r="140" spans="2:11" x14ac:dyDescent="0.25">
      <c r="B140" s="5"/>
      <c r="D140" s="5"/>
      <c r="E140" s="5"/>
      <c r="F140" s="5"/>
      <c r="G140" s="5"/>
      <c r="H140" s="5"/>
      <c r="I140" s="85"/>
      <c r="J140" s="5"/>
      <c r="K140" s="5"/>
    </row>
    <row r="141" spans="2:11" x14ac:dyDescent="0.25">
      <c r="B141" s="5"/>
      <c r="D141" s="5"/>
      <c r="E141" s="5"/>
      <c r="F141" s="5"/>
      <c r="G141" s="5"/>
      <c r="H141" s="5"/>
      <c r="I141" s="85"/>
      <c r="J141" s="5"/>
      <c r="K141" s="5"/>
    </row>
    <row r="142" spans="2:11" x14ac:dyDescent="0.25">
      <c r="B142" s="5"/>
      <c r="D142" s="5"/>
      <c r="E142" s="5"/>
      <c r="F142" s="5"/>
      <c r="G142" s="5"/>
      <c r="H142" s="5"/>
      <c r="I142" s="85"/>
      <c r="J142" s="5"/>
      <c r="K142" s="5"/>
    </row>
    <row r="143" spans="2:11" x14ac:dyDescent="0.25">
      <c r="B143" s="5"/>
      <c r="D143" s="5"/>
      <c r="E143" s="5"/>
      <c r="F143" s="5"/>
      <c r="G143" s="5"/>
      <c r="H143" s="5"/>
      <c r="I143" s="85"/>
      <c r="J143" s="5"/>
      <c r="K143" s="5"/>
    </row>
    <row r="144" spans="2:11" x14ac:dyDescent="0.25">
      <c r="B144" s="5"/>
      <c r="D144" s="5"/>
      <c r="E144" s="5"/>
      <c r="F144" s="5"/>
      <c r="G144" s="5"/>
      <c r="H144" s="5"/>
      <c r="I144" s="85"/>
      <c r="J144" s="5"/>
      <c r="K144" s="5"/>
    </row>
    <row r="145" spans="2:11" x14ac:dyDescent="0.25">
      <c r="B145" s="5"/>
      <c r="D145" s="5"/>
      <c r="E145" s="5"/>
      <c r="F145" s="5"/>
      <c r="G145" s="5"/>
      <c r="H145" s="5"/>
      <c r="I145" s="85"/>
      <c r="J145" s="5"/>
      <c r="K145" s="5"/>
    </row>
    <row r="146" spans="2:11" x14ac:dyDescent="0.25">
      <c r="B146" s="5"/>
      <c r="D146" s="5"/>
      <c r="E146" s="5"/>
      <c r="F146" s="5"/>
      <c r="G146" s="5"/>
      <c r="H146" s="5"/>
      <c r="I146" s="85"/>
      <c r="J146" s="5"/>
      <c r="K146" s="5"/>
    </row>
    <row r="147" spans="2:11" x14ac:dyDescent="0.25">
      <c r="B147" s="5"/>
      <c r="D147" s="5"/>
      <c r="E147" s="5"/>
      <c r="F147" s="5"/>
      <c r="G147" s="5"/>
      <c r="H147" s="5"/>
      <c r="I147" s="85"/>
      <c r="J147" s="5"/>
      <c r="K147" s="5"/>
    </row>
    <row r="148" spans="2:11" x14ac:dyDescent="0.25">
      <c r="B148" s="5"/>
      <c r="D148" s="5"/>
      <c r="E148" s="5"/>
      <c r="F148" s="5"/>
      <c r="G148" s="5"/>
      <c r="H148" s="5"/>
      <c r="I148" s="85"/>
      <c r="J148" s="5"/>
      <c r="K148" s="5"/>
    </row>
    <row r="149" spans="2:11" x14ac:dyDescent="0.25">
      <c r="B149" s="5"/>
      <c r="D149" s="5"/>
      <c r="E149" s="5"/>
      <c r="F149" s="5"/>
      <c r="G149" s="5"/>
      <c r="H149" s="5"/>
      <c r="I149" s="85"/>
      <c r="J149" s="5"/>
      <c r="K149" s="5"/>
    </row>
    <row r="150" spans="2:11" x14ac:dyDescent="0.25">
      <c r="B150" s="5"/>
      <c r="D150" s="5"/>
      <c r="E150" s="5"/>
      <c r="F150" s="5"/>
      <c r="G150" s="5"/>
      <c r="H150" s="5"/>
      <c r="I150" s="85"/>
      <c r="J150" s="5"/>
      <c r="K150" s="5"/>
    </row>
    <row r="151" spans="2:11" x14ac:dyDescent="0.25">
      <c r="B151" s="5"/>
      <c r="D151" s="5"/>
      <c r="E151" s="5"/>
      <c r="F151" s="5"/>
      <c r="G151" s="5"/>
      <c r="H151" s="5"/>
      <c r="I151" s="85"/>
      <c r="J151" s="5"/>
      <c r="K151" s="5"/>
    </row>
    <row r="152" spans="2:11" x14ac:dyDescent="0.25">
      <c r="B152" s="5"/>
      <c r="D152" s="5"/>
      <c r="E152" s="5"/>
      <c r="F152" s="5"/>
      <c r="G152" s="5"/>
      <c r="H152" s="5"/>
      <c r="I152" s="85"/>
      <c r="J152" s="5"/>
      <c r="K152" s="5"/>
    </row>
    <row r="153" spans="2:11" x14ac:dyDescent="0.25">
      <c r="B153" s="5"/>
      <c r="D153" s="5"/>
      <c r="E153" s="5"/>
      <c r="F153" s="5"/>
      <c r="G153" s="5"/>
      <c r="H153" s="5"/>
      <c r="I153" s="85"/>
      <c r="J153" s="5"/>
      <c r="K153" s="5"/>
    </row>
    <row r="154" spans="2:11" x14ac:dyDescent="0.25">
      <c r="B154" s="5"/>
      <c r="D154" s="5"/>
      <c r="E154" s="5"/>
      <c r="F154" s="5"/>
      <c r="G154" s="5"/>
      <c r="H154" s="5"/>
      <c r="I154" s="85"/>
      <c r="J154" s="5"/>
      <c r="K154" s="5"/>
    </row>
    <row r="155" spans="2:11" x14ac:dyDescent="0.25">
      <c r="B155" s="5"/>
      <c r="D155" s="5"/>
      <c r="E155" s="5"/>
      <c r="F155" s="5"/>
      <c r="G155" s="5"/>
      <c r="H155" s="5"/>
      <c r="I155" s="85"/>
      <c r="J155" s="5"/>
      <c r="K155" s="5"/>
    </row>
    <row r="156" spans="2:11" x14ac:dyDescent="0.25">
      <c r="B156" s="5"/>
      <c r="D156" s="5"/>
      <c r="E156" s="5"/>
      <c r="F156" s="5"/>
      <c r="G156" s="5"/>
      <c r="H156" s="5"/>
      <c r="I156" s="85"/>
      <c r="J156" s="5"/>
      <c r="K156" s="5"/>
    </row>
    <row r="157" spans="2:11" x14ac:dyDescent="0.25">
      <c r="B157" s="5"/>
      <c r="D157" s="5"/>
      <c r="E157" s="5"/>
      <c r="F157" s="5"/>
      <c r="G157" s="5"/>
      <c r="H157" s="5"/>
      <c r="I157" s="85"/>
      <c r="J157" s="5"/>
      <c r="K157" s="5"/>
    </row>
    <row r="158" spans="2:11" x14ac:dyDescent="0.25">
      <c r="B158" s="5"/>
      <c r="D158" s="5"/>
      <c r="E158" s="5"/>
      <c r="F158" s="5"/>
      <c r="G158" s="5"/>
      <c r="H158" s="5"/>
      <c r="I158" s="85"/>
      <c r="J158" s="5"/>
      <c r="K158" s="5"/>
    </row>
    <row r="159" spans="2:11" x14ac:dyDescent="0.25">
      <c r="B159" s="5"/>
      <c r="D159" s="5"/>
      <c r="E159" s="5"/>
      <c r="F159" s="5"/>
      <c r="G159" s="5"/>
      <c r="H159" s="5"/>
      <c r="I159" s="85"/>
      <c r="J159" s="5"/>
      <c r="K159" s="5"/>
    </row>
    <row r="160" spans="2:11" x14ac:dyDescent="0.25">
      <c r="B160" s="5"/>
      <c r="D160" s="5"/>
      <c r="E160" s="5"/>
      <c r="F160" s="5"/>
      <c r="G160" s="5"/>
      <c r="H160" s="5"/>
      <c r="I160" s="85"/>
      <c r="J160" s="5"/>
      <c r="K160" s="5"/>
    </row>
    <row r="161" spans="2:11" x14ac:dyDescent="0.25">
      <c r="B161" s="5"/>
      <c r="D161" s="5"/>
      <c r="E161" s="5"/>
      <c r="F161" s="5"/>
      <c r="G161" s="5"/>
      <c r="H161" s="5"/>
      <c r="I161" s="85"/>
      <c r="J161" s="5"/>
      <c r="K161" s="5"/>
    </row>
    <row r="162" spans="2:11" x14ac:dyDescent="0.25">
      <c r="B162" s="5"/>
      <c r="D162" s="5"/>
      <c r="E162" s="5"/>
      <c r="F162" s="5"/>
      <c r="G162" s="5"/>
      <c r="H162" s="5"/>
      <c r="I162" s="85"/>
      <c r="J162" s="5"/>
      <c r="K162" s="5"/>
    </row>
    <row r="163" spans="2:11" x14ac:dyDescent="0.25">
      <c r="B163" s="5"/>
      <c r="D163" s="5"/>
      <c r="E163" s="5"/>
      <c r="F163" s="5"/>
      <c r="G163" s="5"/>
      <c r="H163" s="5"/>
      <c r="I163" s="85"/>
      <c r="J163" s="5"/>
      <c r="K163" s="5"/>
    </row>
    <row r="164" spans="2:11" x14ac:dyDescent="0.25">
      <c r="B164" s="5"/>
      <c r="D164" s="5"/>
      <c r="E164" s="5"/>
      <c r="F164" s="5"/>
      <c r="G164" s="5"/>
      <c r="H164" s="5"/>
      <c r="I164" s="85"/>
      <c r="J164" s="5"/>
      <c r="K164" s="5"/>
    </row>
    <row r="165" spans="2:11" x14ac:dyDescent="0.25">
      <c r="B165" s="5"/>
      <c r="D165" s="5"/>
      <c r="E165" s="5"/>
      <c r="F165" s="5"/>
      <c r="G165" s="5"/>
      <c r="H165" s="5"/>
      <c r="I165" s="85"/>
      <c r="J165" s="5"/>
      <c r="K165" s="5"/>
    </row>
    <row r="166" spans="2:11" x14ac:dyDescent="0.25">
      <c r="B166" s="5"/>
      <c r="D166" s="5"/>
      <c r="E166" s="5"/>
      <c r="F166" s="5"/>
      <c r="G166" s="5"/>
      <c r="H166" s="5"/>
      <c r="I166" s="85"/>
      <c r="J166" s="5"/>
      <c r="K166" s="5"/>
    </row>
    <row r="167" spans="2:11" x14ac:dyDescent="0.25">
      <c r="B167" s="5"/>
      <c r="D167" s="5"/>
      <c r="E167" s="5"/>
      <c r="F167" s="5"/>
      <c r="G167" s="5"/>
      <c r="H167" s="5"/>
      <c r="I167" s="85"/>
      <c r="J167" s="5"/>
      <c r="K167" s="5"/>
    </row>
    <row r="168" spans="2:11" x14ac:dyDescent="0.25">
      <c r="B168" s="5"/>
      <c r="D168" s="5"/>
      <c r="E168" s="5"/>
      <c r="F168" s="5"/>
      <c r="G168" s="5"/>
      <c r="H168" s="5"/>
      <c r="I168" s="85"/>
      <c r="J168" s="5"/>
      <c r="K168" s="5"/>
    </row>
    <row r="169" spans="2:11" x14ac:dyDescent="0.25">
      <c r="B169" s="5"/>
      <c r="D169" s="5"/>
      <c r="E169" s="5"/>
      <c r="F169" s="5"/>
      <c r="G169" s="5"/>
      <c r="H169" s="5"/>
      <c r="I169" s="85"/>
      <c r="J169" s="5"/>
      <c r="K169" s="5"/>
    </row>
    <row r="170" spans="2:11" x14ac:dyDescent="0.25">
      <c r="B170" s="5"/>
      <c r="D170" s="5"/>
      <c r="E170" s="5"/>
      <c r="F170" s="5"/>
      <c r="G170" s="5"/>
      <c r="H170" s="5"/>
      <c r="I170" s="85"/>
      <c r="J170" s="5"/>
      <c r="K170" s="5"/>
    </row>
    <row r="171" spans="2:11" x14ac:dyDescent="0.25">
      <c r="B171" s="5"/>
      <c r="D171" s="5"/>
      <c r="E171" s="5"/>
      <c r="F171" s="5"/>
      <c r="G171" s="5"/>
      <c r="H171" s="5"/>
      <c r="I171" s="85"/>
      <c r="J171" s="5"/>
      <c r="K171" s="5"/>
    </row>
    <row r="172" spans="2:11" x14ac:dyDescent="0.25">
      <c r="B172" s="5"/>
      <c r="D172" s="5"/>
      <c r="E172" s="5"/>
      <c r="F172" s="5"/>
      <c r="G172" s="5"/>
      <c r="H172" s="5"/>
      <c r="I172" s="85"/>
      <c r="J172" s="5"/>
      <c r="K172" s="5"/>
    </row>
    <row r="173" spans="2:11" x14ac:dyDescent="0.25">
      <c r="B173" s="5"/>
      <c r="D173" s="5"/>
      <c r="E173" s="5"/>
      <c r="F173" s="5"/>
      <c r="G173" s="5"/>
      <c r="H173" s="5"/>
      <c r="I173" s="85"/>
      <c r="J173" s="5"/>
      <c r="K173" s="5"/>
    </row>
    <row r="174" spans="2:11" x14ac:dyDescent="0.25">
      <c r="B174" s="5"/>
      <c r="D174" s="5"/>
      <c r="E174" s="5"/>
      <c r="F174" s="5"/>
      <c r="G174" s="5"/>
      <c r="H174" s="5"/>
      <c r="I174" s="85"/>
      <c r="J174" s="5"/>
      <c r="K174" s="5"/>
    </row>
    <row r="175" spans="2:11" x14ac:dyDescent="0.25">
      <c r="B175" s="5"/>
      <c r="D175" s="5"/>
      <c r="E175" s="5"/>
      <c r="F175" s="5"/>
      <c r="G175" s="5"/>
      <c r="H175" s="5"/>
      <c r="I175" s="85"/>
      <c r="J175" s="5"/>
      <c r="K175" s="5"/>
    </row>
    <row r="176" spans="2:11" x14ac:dyDescent="0.25">
      <c r="B176" s="5"/>
      <c r="D176" s="5"/>
      <c r="E176" s="5"/>
      <c r="F176" s="5"/>
      <c r="G176" s="5"/>
      <c r="H176" s="5"/>
      <c r="I176" s="85"/>
      <c r="J176" s="5"/>
      <c r="K176" s="5"/>
    </row>
    <row r="177" spans="2:11" x14ac:dyDescent="0.25">
      <c r="B177" s="5"/>
      <c r="D177" s="5"/>
      <c r="E177" s="5"/>
      <c r="F177" s="5"/>
      <c r="G177" s="5"/>
      <c r="H177" s="5"/>
      <c r="I177" s="85"/>
      <c r="J177" s="5"/>
      <c r="K177" s="5"/>
    </row>
    <row r="178" spans="2:11" x14ac:dyDescent="0.25">
      <c r="B178" s="5"/>
      <c r="D178" s="5"/>
      <c r="E178" s="5"/>
      <c r="F178" s="5"/>
      <c r="G178" s="5"/>
      <c r="H178" s="5"/>
      <c r="I178" s="85"/>
      <c r="J178" s="5"/>
      <c r="K178" s="5"/>
    </row>
    <row r="179" spans="2:11" x14ac:dyDescent="0.25">
      <c r="B179" s="5"/>
      <c r="D179" s="5"/>
      <c r="E179" s="5"/>
      <c r="F179" s="5"/>
      <c r="G179" s="5"/>
      <c r="H179" s="5"/>
      <c r="I179" s="85"/>
      <c r="J179" s="5"/>
      <c r="K179" s="5"/>
    </row>
    <row r="180" spans="2:11" x14ac:dyDescent="0.25">
      <c r="B180" s="5"/>
      <c r="D180" s="5"/>
      <c r="E180" s="5"/>
      <c r="F180" s="5"/>
      <c r="G180" s="5"/>
      <c r="H180" s="5"/>
      <c r="I180" s="85"/>
      <c r="J180" s="5"/>
      <c r="K180" s="5"/>
    </row>
    <row r="181" spans="2:11" x14ac:dyDescent="0.25">
      <c r="B181" s="5"/>
      <c r="D181" s="5"/>
      <c r="E181" s="5"/>
      <c r="F181" s="5"/>
      <c r="G181" s="5"/>
      <c r="H181" s="5"/>
      <c r="I181" s="85"/>
      <c r="J181" s="5"/>
      <c r="K181" s="5"/>
    </row>
    <row r="182" spans="2:11" x14ac:dyDescent="0.25">
      <c r="B182" s="5"/>
      <c r="D182" s="5"/>
      <c r="E182" s="5"/>
      <c r="F182" s="5"/>
      <c r="G182" s="5"/>
      <c r="H182" s="5"/>
      <c r="I182" s="85"/>
      <c r="J182" s="5"/>
      <c r="K182" s="5"/>
    </row>
    <row r="183" spans="2:11" x14ac:dyDescent="0.25">
      <c r="B183" s="5"/>
      <c r="D183" s="5"/>
      <c r="E183" s="5"/>
      <c r="F183" s="5"/>
      <c r="G183" s="5"/>
      <c r="H183" s="5"/>
      <c r="I183" s="85"/>
      <c r="J183" s="5"/>
      <c r="K183" s="5"/>
    </row>
    <row r="184" spans="2:11" x14ac:dyDescent="0.25">
      <c r="B184" s="5"/>
      <c r="D184" s="5"/>
      <c r="E184" s="5"/>
      <c r="F184" s="5"/>
      <c r="G184" s="5"/>
      <c r="H184" s="5"/>
      <c r="I184" s="85"/>
      <c r="J184" s="5"/>
      <c r="K184" s="5"/>
    </row>
    <row r="185" spans="2:11" x14ac:dyDescent="0.25">
      <c r="B185" s="5"/>
      <c r="D185" s="5"/>
      <c r="E185" s="5"/>
      <c r="F185" s="5"/>
      <c r="G185" s="5"/>
      <c r="H185" s="5"/>
      <c r="I185" s="85"/>
      <c r="J185" s="5"/>
      <c r="K185" s="5"/>
    </row>
    <row r="186" spans="2:11" x14ac:dyDescent="0.25">
      <c r="B186" s="5"/>
      <c r="D186" s="5"/>
      <c r="E186" s="5"/>
      <c r="F186" s="5"/>
      <c r="G186" s="5"/>
      <c r="H186" s="5"/>
      <c r="I186" s="85"/>
      <c r="J186" s="5"/>
      <c r="K186" s="5"/>
    </row>
    <row r="187" spans="2:11" x14ac:dyDescent="0.25">
      <c r="B187" s="5"/>
      <c r="D187" s="5"/>
      <c r="E187" s="5"/>
      <c r="F187" s="5"/>
      <c r="G187" s="5"/>
      <c r="H187" s="5"/>
      <c r="I187" s="85"/>
      <c r="J187" s="5"/>
      <c r="K187" s="5"/>
    </row>
    <row r="188" spans="2:11" x14ac:dyDescent="0.25">
      <c r="B188" s="5"/>
      <c r="D188" s="5"/>
      <c r="E188" s="5"/>
      <c r="F188" s="5"/>
      <c r="G188" s="5"/>
      <c r="H188" s="5"/>
      <c r="I188" s="85"/>
      <c r="J188" s="5"/>
      <c r="K188" s="5"/>
    </row>
    <row r="189" spans="2:11" x14ac:dyDescent="0.25">
      <c r="B189" s="5"/>
      <c r="D189" s="5"/>
      <c r="E189" s="5"/>
      <c r="F189" s="5"/>
      <c r="G189" s="5"/>
      <c r="H189" s="5"/>
      <c r="I189" s="85"/>
      <c r="J189" s="5"/>
      <c r="K189" s="5"/>
    </row>
  </sheetData>
  <sheetProtection insertColumns="0" insertRows="0"/>
  <mergeCells count="37">
    <mergeCell ref="B10:D10"/>
    <mergeCell ref="F10:S10"/>
    <mergeCell ref="F11:S11"/>
    <mergeCell ref="E12:R12"/>
    <mergeCell ref="E13:R13"/>
    <mergeCell ref="D37:I37"/>
    <mergeCell ref="B91:B92"/>
    <mergeCell ref="B93:B103"/>
    <mergeCell ref="B105:B111"/>
    <mergeCell ref="B112:B124"/>
    <mergeCell ref="B15:B49"/>
    <mergeCell ref="D15:I15"/>
    <mergeCell ref="D16:I16"/>
    <mergeCell ref="D17:I17"/>
    <mergeCell ref="D22:I22"/>
    <mergeCell ref="D23:I23"/>
    <mergeCell ref="D24:I24"/>
    <mergeCell ref="D29:I29"/>
    <mergeCell ref="D30:I30"/>
    <mergeCell ref="D31:I31"/>
    <mergeCell ref="D36:I36"/>
    <mergeCell ref="D38:I38"/>
    <mergeCell ref="D43:I43"/>
    <mergeCell ref="D44:I44"/>
    <mergeCell ref="D45:I45"/>
    <mergeCell ref="D60:I60"/>
    <mergeCell ref="B86:D87"/>
    <mergeCell ref="D61:I61"/>
    <mergeCell ref="B63:E63"/>
    <mergeCell ref="B64:B70"/>
    <mergeCell ref="B72:E72"/>
    <mergeCell ref="B73:B79"/>
    <mergeCell ref="A1:P1"/>
    <mergeCell ref="A2:P2"/>
    <mergeCell ref="A3:P3"/>
    <mergeCell ref="A4:D4"/>
    <mergeCell ref="A5:P5"/>
  </mergeCells>
  <conditionalFormatting sqref="F10">
    <cfRule type="notContainsBlanks" dxfId="42" priority="6">
      <formula>LEN(TRIM(F10))&gt;0</formula>
    </cfRule>
  </conditionalFormatting>
  <conditionalFormatting sqref="F11:S11">
    <cfRule type="expression" dxfId="41" priority="4">
      <formula>E11="NO SE REPORTA"</formula>
    </cfRule>
    <cfRule type="expression" dxfId="40" priority="5">
      <formula>E10="NO APLICA"</formula>
    </cfRule>
  </conditionalFormatting>
  <conditionalFormatting sqref="E12:R12">
    <cfRule type="expression" dxfId="39" priority="1">
      <formula>E11="SI SE REPORTA"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E19:H20 E26:H27 E33:H34 E40:H41 E47:H48">
      <formula1>0</formula1>
    </dataValidation>
    <dataValidation allowBlank="1" showInputMessage="1" showErrorMessage="1" sqref="I47:I49 E52:E57 E49:H49 F57 E21:H21 I26:I28 E28:H28 E35:I35 I33:I34 I40:I42 E42:H42 G52:G57"/>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68" r:id="rId1"/>
  </hyperlinks>
  <pageMargins left="0.25" right="0.25" top="0.75" bottom="0.75" header="0.3" footer="0.3"/>
  <pageSetup paperSize="178" orientation="landscape"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zoomScale="120" zoomScaleNormal="120" zoomScaleSheetLayoutView="100" workbookViewId="0">
      <selection activeCell="B9" sqref="B9"/>
    </sheetView>
  </sheetViews>
  <sheetFormatPr baseColWidth="10" defaultColWidth="11.28515625" defaultRowHeight="12.75" x14ac:dyDescent="0.25"/>
  <cols>
    <col min="1" max="1" width="47.28515625" style="418" customWidth="1"/>
    <col min="2" max="2" width="84.140625" style="418" customWidth="1"/>
    <col min="3" max="4" width="11.28515625" style="418"/>
    <col min="5" max="5" width="11.28515625" style="418" customWidth="1"/>
    <col min="6" max="6" width="21.28515625" style="418" customWidth="1"/>
    <col min="7" max="7" width="16.7109375" style="418" customWidth="1"/>
    <col min="8" max="8" width="15" style="418" customWidth="1"/>
    <col min="9" max="9" width="21.140625" style="418" customWidth="1"/>
    <col min="10" max="10" width="11.28515625" style="418" customWidth="1"/>
    <col min="11" max="16384" width="11.28515625" style="418"/>
  </cols>
  <sheetData>
    <row r="1" spans="1:19" ht="130.69999999999999" customHeight="1" thickBot="1" x14ac:dyDescent="0.3">
      <c r="A1" s="964"/>
      <c r="B1" s="964"/>
    </row>
    <row r="2" spans="1:19" ht="27" customHeight="1" thickBot="1" x14ac:dyDescent="0.3">
      <c r="A2" s="965" t="s">
        <v>1262</v>
      </c>
      <c r="B2" s="966"/>
      <c r="F2" s="535"/>
      <c r="G2" s="535"/>
      <c r="H2" s="535"/>
      <c r="I2" s="535"/>
      <c r="J2" s="535"/>
      <c r="K2" s="535"/>
      <c r="L2" s="535"/>
      <c r="M2" s="535"/>
      <c r="N2" s="535"/>
      <c r="O2" s="535"/>
      <c r="P2" s="535"/>
      <c r="Q2" s="535"/>
      <c r="R2" s="535"/>
      <c r="S2" s="535"/>
    </row>
    <row r="3" spans="1:19" ht="24.75" customHeight="1" thickBot="1" x14ac:dyDescent="0.3">
      <c r="A3" s="967" t="s">
        <v>1263</v>
      </c>
      <c r="B3" s="968"/>
      <c r="F3" s="535"/>
      <c r="G3" s="535"/>
      <c r="H3" s="535"/>
      <c r="I3" s="535"/>
      <c r="J3" s="535"/>
      <c r="K3" s="535"/>
      <c r="L3" s="535"/>
      <c r="M3" s="535"/>
      <c r="N3" s="535"/>
      <c r="O3" s="535"/>
      <c r="P3" s="535"/>
      <c r="Q3" s="535"/>
      <c r="R3" s="535"/>
      <c r="S3" s="535"/>
    </row>
    <row r="4" spans="1:19" x14ac:dyDescent="0.25">
      <c r="A4" s="419" t="s">
        <v>1264</v>
      </c>
      <c r="B4" s="419" t="s">
        <v>1265</v>
      </c>
      <c r="F4" s="535"/>
      <c r="G4" s="535"/>
      <c r="H4" s="535"/>
      <c r="I4" s="535"/>
      <c r="J4" s="535"/>
      <c r="K4" s="535"/>
      <c r="L4" s="535"/>
      <c r="M4" s="535"/>
      <c r="N4" s="535"/>
      <c r="O4" s="535"/>
      <c r="P4" s="535"/>
      <c r="Q4" s="535"/>
      <c r="R4" s="535"/>
      <c r="S4" s="535"/>
    </row>
    <row r="5" spans="1:19" ht="36" x14ac:dyDescent="0.25">
      <c r="A5" s="420" t="s">
        <v>1938</v>
      </c>
      <c r="B5" s="421" t="s">
        <v>1939</v>
      </c>
      <c r="F5" s="535"/>
      <c r="G5" s="535"/>
      <c r="H5" s="535"/>
      <c r="I5" s="535"/>
      <c r="J5" s="535"/>
      <c r="K5" s="535"/>
      <c r="L5" s="535"/>
      <c r="M5" s="535"/>
      <c r="N5" s="535"/>
      <c r="O5" s="535"/>
      <c r="P5" s="535"/>
      <c r="Q5" s="535"/>
      <c r="R5" s="535"/>
      <c r="S5" s="535"/>
    </row>
    <row r="6" spans="1:19" ht="34.5" customHeight="1" x14ac:dyDescent="0.25">
      <c r="A6" s="420" t="s">
        <v>1266</v>
      </c>
      <c r="B6" s="421" t="s">
        <v>1940</v>
      </c>
      <c r="F6" s="535"/>
      <c r="G6" s="535"/>
      <c r="H6" s="535"/>
      <c r="I6" s="535"/>
      <c r="J6" s="535"/>
      <c r="K6" s="535"/>
      <c r="L6" s="535"/>
      <c r="M6" s="535"/>
      <c r="N6" s="535"/>
      <c r="O6" s="535"/>
      <c r="P6" s="535"/>
      <c r="Q6" s="535"/>
      <c r="R6" s="535"/>
      <c r="S6" s="535"/>
    </row>
    <row r="7" spans="1:19" ht="24" customHeight="1" x14ac:dyDescent="0.25">
      <c r="A7" s="420" t="s">
        <v>1267</v>
      </c>
      <c r="B7" s="421" t="s">
        <v>1941</v>
      </c>
      <c r="F7" s="535"/>
      <c r="G7" s="535"/>
      <c r="H7" s="535"/>
      <c r="I7" s="535"/>
      <c r="J7" s="535"/>
      <c r="K7" s="535"/>
      <c r="L7" s="535"/>
      <c r="M7" s="535"/>
      <c r="N7" s="535"/>
      <c r="O7" s="535"/>
      <c r="P7" s="535"/>
      <c r="Q7" s="535"/>
      <c r="R7" s="535"/>
      <c r="S7" s="535"/>
    </row>
    <row r="8" spans="1:19" ht="32.25" customHeight="1" x14ac:dyDescent="0.25">
      <c r="A8" s="420" t="s">
        <v>1942</v>
      </c>
      <c r="B8" s="421" t="s">
        <v>1268</v>
      </c>
      <c r="F8" s="535"/>
      <c r="G8" s="535"/>
      <c r="H8" s="535"/>
      <c r="I8" s="535"/>
      <c r="J8" s="535"/>
      <c r="K8" s="535"/>
      <c r="L8" s="535"/>
      <c r="M8" s="535"/>
      <c r="N8" s="535"/>
      <c r="O8" s="535"/>
      <c r="P8" s="535"/>
      <c r="Q8" s="535"/>
      <c r="R8" s="535"/>
      <c r="S8" s="535"/>
    </row>
    <row r="9" spans="1:19" ht="32.25" customHeight="1" x14ac:dyDescent="0.25">
      <c r="A9" s="420" t="s">
        <v>1943</v>
      </c>
      <c r="B9" s="421" t="s">
        <v>1944</v>
      </c>
      <c r="F9" s="535"/>
      <c r="G9" s="535"/>
      <c r="H9" s="535"/>
      <c r="I9" s="535"/>
      <c r="J9" s="535"/>
      <c r="K9" s="535"/>
      <c r="L9" s="535"/>
      <c r="M9" s="535"/>
      <c r="N9" s="535"/>
      <c r="O9" s="535"/>
      <c r="P9" s="535"/>
      <c r="Q9" s="535"/>
      <c r="R9" s="535"/>
      <c r="S9" s="535"/>
    </row>
    <row r="10" spans="1:19" ht="49.7" customHeight="1" x14ac:dyDescent="0.25">
      <c r="A10" s="420" t="s">
        <v>1269</v>
      </c>
      <c r="B10" s="421" t="s">
        <v>1945</v>
      </c>
      <c r="F10" s="535"/>
      <c r="G10" s="535"/>
      <c r="H10" s="535"/>
      <c r="I10" s="535"/>
      <c r="J10" s="535"/>
      <c r="K10" s="535"/>
      <c r="L10" s="535"/>
      <c r="M10" s="535"/>
      <c r="N10" s="535"/>
      <c r="O10" s="535"/>
      <c r="P10" s="535"/>
      <c r="Q10" s="535"/>
      <c r="R10" s="535"/>
      <c r="S10" s="535"/>
    </row>
    <row r="11" spans="1:19" ht="21.2" customHeight="1" x14ac:dyDescent="0.25">
      <c r="A11" s="420" t="s">
        <v>1480</v>
      </c>
      <c r="B11" s="421" t="s">
        <v>1946</v>
      </c>
      <c r="F11" s="535"/>
      <c r="G11" s="535"/>
      <c r="H11" s="535"/>
      <c r="I11" s="535"/>
      <c r="J11" s="535"/>
      <c r="K11" s="535"/>
      <c r="L11" s="535"/>
      <c r="M11" s="535"/>
      <c r="N11" s="535"/>
      <c r="O11" s="535"/>
      <c r="P11" s="535"/>
      <c r="Q11" s="535"/>
      <c r="R11" s="535"/>
      <c r="S11" s="535"/>
    </row>
    <row r="12" spans="1:19" ht="21.2" customHeight="1" x14ac:dyDescent="0.25">
      <c r="A12" s="536" t="s">
        <v>1947</v>
      </c>
      <c r="B12" s="421" t="s">
        <v>1948</v>
      </c>
      <c r="F12" s="535"/>
      <c r="G12" s="535"/>
      <c r="H12" s="535"/>
      <c r="I12" s="535"/>
      <c r="J12" s="535"/>
      <c r="K12" s="535"/>
      <c r="L12" s="535"/>
      <c r="M12" s="535"/>
      <c r="N12" s="535"/>
      <c r="O12" s="535"/>
      <c r="P12" s="535"/>
      <c r="Q12" s="535"/>
      <c r="R12" s="535"/>
      <c r="S12" s="535"/>
    </row>
    <row r="13" spans="1:19" ht="21.2" customHeight="1" x14ac:dyDescent="0.25">
      <c r="A13" s="536" t="s">
        <v>1949</v>
      </c>
      <c r="B13" s="421" t="s">
        <v>1950</v>
      </c>
      <c r="F13" s="535"/>
      <c r="G13" s="535" t="s">
        <v>1951</v>
      </c>
      <c r="H13" s="535" t="s">
        <v>1952</v>
      </c>
      <c r="I13" s="535" t="s">
        <v>1953</v>
      </c>
      <c r="J13" s="535"/>
      <c r="K13" s="535"/>
      <c r="L13" s="535"/>
      <c r="M13" s="535"/>
      <c r="N13" s="535"/>
      <c r="O13" s="535"/>
      <c r="P13" s="535"/>
      <c r="Q13" s="535"/>
      <c r="R13" s="535"/>
      <c r="S13" s="535"/>
    </row>
    <row r="14" spans="1:19" ht="21.2" customHeight="1" x14ac:dyDescent="0.25">
      <c r="A14" s="536" t="s">
        <v>1954</v>
      </c>
      <c r="B14" s="421" t="s">
        <v>1955</v>
      </c>
      <c r="F14" s="535"/>
      <c r="G14" s="535" t="s">
        <v>1956</v>
      </c>
      <c r="H14" s="535" t="s">
        <v>1957</v>
      </c>
      <c r="I14" s="535" t="s">
        <v>1958</v>
      </c>
      <c r="J14" s="535" t="s">
        <v>1959</v>
      </c>
      <c r="K14" s="535"/>
      <c r="L14" s="535"/>
      <c r="M14" s="535"/>
      <c r="N14" s="535"/>
      <c r="O14" s="535"/>
      <c r="P14" s="535"/>
      <c r="Q14" s="535"/>
      <c r="R14" s="535"/>
      <c r="S14" s="535"/>
    </row>
    <row r="15" spans="1:19" ht="21.2" customHeight="1" x14ac:dyDescent="0.25">
      <c r="A15" s="536" t="s">
        <v>1960</v>
      </c>
      <c r="B15" s="421" t="s">
        <v>1961</v>
      </c>
      <c r="E15" s="418" t="s">
        <v>1962</v>
      </c>
      <c r="F15" s="535" t="s">
        <v>1963</v>
      </c>
      <c r="G15" s="535" t="s">
        <v>1964</v>
      </c>
      <c r="H15" s="535" t="s">
        <v>1965</v>
      </c>
      <c r="I15" s="535" t="s">
        <v>1966</v>
      </c>
      <c r="J15" s="535"/>
      <c r="K15" s="535"/>
      <c r="L15" s="535"/>
      <c r="M15" s="535"/>
      <c r="N15" s="535"/>
      <c r="O15" s="535"/>
      <c r="P15" s="535"/>
      <c r="Q15" s="535"/>
      <c r="R15" s="535"/>
      <c r="S15" s="535"/>
    </row>
    <row r="16" spans="1:19" ht="21.2" customHeight="1" x14ac:dyDescent="0.25">
      <c r="A16" s="536" t="s">
        <v>1967</v>
      </c>
      <c r="B16" s="421" t="s">
        <v>1968</v>
      </c>
      <c r="F16" s="535"/>
      <c r="G16" s="535"/>
      <c r="H16" s="535"/>
      <c r="I16" s="535"/>
      <c r="J16" s="535"/>
      <c r="K16" s="535"/>
      <c r="L16" s="535"/>
      <c r="M16" s="535"/>
      <c r="N16" s="535"/>
      <c r="O16" s="535"/>
      <c r="P16" s="535"/>
      <c r="Q16" s="535"/>
      <c r="R16" s="535"/>
      <c r="S16" s="535"/>
    </row>
    <row r="17" spans="1:19" ht="21.2" customHeight="1" x14ac:dyDescent="0.25">
      <c r="A17" s="536" t="s">
        <v>1969</v>
      </c>
      <c r="B17" s="537" t="s">
        <v>1970</v>
      </c>
      <c r="F17" s="535"/>
      <c r="G17" s="535"/>
      <c r="H17" s="535"/>
      <c r="I17" s="535"/>
      <c r="J17" s="535"/>
      <c r="K17" s="535"/>
      <c r="L17" s="535"/>
      <c r="M17" s="535"/>
      <c r="N17" s="535"/>
      <c r="O17" s="535"/>
      <c r="P17" s="535"/>
      <c r="Q17" s="535"/>
      <c r="R17" s="535"/>
      <c r="S17" s="535"/>
    </row>
    <row r="18" spans="1:19" ht="21.2" customHeight="1" x14ac:dyDescent="0.25">
      <c r="A18" s="536" t="s">
        <v>1971</v>
      </c>
      <c r="B18" s="421" t="s">
        <v>1972</v>
      </c>
      <c r="F18" s="535"/>
      <c r="G18" s="535"/>
      <c r="H18" s="535"/>
      <c r="I18" s="535"/>
      <c r="J18" s="535"/>
      <c r="K18" s="535"/>
      <c r="L18" s="535"/>
      <c r="M18" s="535"/>
      <c r="N18" s="535"/>
      <c r="O18" s="535"/>
      <c r="P18" s="535"/>
      <c r="Q18" s="535"/>
      <c r="R18" s="535"/>
      <c r="S18" s="535"/>
    </row>
    <row r="19" spans="1:19" ht="21.2" customHeight="1" x14ac:dyDescent="0.25">
      <c r="A19" s="536" t="s">
        <v>1973</v>
      </c>
      <c r="B19" s="421" t="s">
        <v>1974</v>
      </c>
      <c r="F19" s="535"/>
      <c r="G19" s="535"/>
      <c r="H19" s="535"/>
      <c r="I19" s="535"/>
      <c r="J19" s="535"/>
      <c r="K19" s="535"/>
      <c r="L19" s="535"/>
      <c r="M19" s="535"/>
      <c r="N19" s="535"/>
      <c r="O19" s="535"/>
      <c r="P19" s="535"/>
      <c r="Q19" s="535"/>
      <c r="R19" s="535"/>
      <c r="S19" s="535"/>
    </row>
    <row r="20" spans="1:19" ht="40.700000000000003" customHeight="1" x14ac:dyDescent="0.25">
      <c r="A20" s="420" t="s">
        <v>1975</v>
      </c>
      <c r="B20" s="421" t="s">
        <v>1270</v>
      </c>
    </row>
    <row r="21" spans="1:19" ht="21.75" customHeight="1" x14ac:dyDescent="0.25">
      <c r="A21" s="420" t="s">
        <v>1976</v>
      </c>
      <c r="B21" s="421" t="s">
        <v>1271</v>
      </c>
    </row>
    <row r="22" spans="1:19" ht="21.75" customHeight="1" x14ac:dyDescent="0.25">
      <c r="A22" s="420" t="s">
        <v>1977</v>
      </c>
      <c r="B22" s="421" t="s">
        <v>1481</v>
      </c>
    </row>
    <row r="23" spans="1:19" ht="21.2" customHeight="1" x14ac:dyDescent="0.25">
      <c r="A23" s="420" t="s">
        <v>1978</v>
      </c>
      <c r="B23" s="421" t="s">
        <v>1979</v>
      </c>
    </row>
    <row r="24" spans="1:19" ht="24.75" customHeight="1" x14ac:dyDescent="0.25">
      <c r="A24" s="420" t="s">
        <v>1980</v>
      </c>
      <c r="B24" s="421" t="s">
        <v>1981</v>
      </c>
    </row>
    <row r="25" spans="1:19" ht="24.75" customHeight="1" x14ac:dyDescent="0.25">
      <c r="A25" s="420" t="s">
        <v>1982</v>
      </c>
      <c r="B25" s="421" t="s">
        <v>1983</v>
      </c>
    </row>
    <row r="26" spans="1:19" ht="22.7" customHeight="1" x14ac:dyDescent="0.25">
      <c r="A26" s="420" t="s">
        <v>1984</v>
      </c>
      <c r="B26" s="421" t="s">
        <v>1272</v>
      </c>
    </row>
    <row r="27" spans="1:19" ht="39.200000000000003" customHeight="1" x14ac:dyDescent="0.25">
      <c r="A27" s="420" t="s">
        <v>1985</v>
      </c>
      <c r="B27" s="421" t="s">
        <v>1273</v>
      </c>
    </row>
    <row r="28" spans="1:19" ht="22.7" customHeight="1" x14ac:dyDescent="0.25">
      <c r="A28" s="420" t="s">
        <v>1986</v>
      </c>
      <c r="B28" s="421" t="s">
        <v>1274</v>
      </c>
    </row>
    <row r="29" spans="1:19" ht="21.75" customHeight="1" x14ac:dyDescent="0.25">
      <c r="A29" s="420" t="s">
        <v>1987</v>
      </c>
      <c r="B29" s="421" t="s">
        <v>1988</v>
      </c>
    </row>
    <row r="30" spans="1:19" ht="25.5" customHeight="1" x14ac:dyDescent="0.25">
      <c r="A30" s="420" t="s">
        <v>1989</v>
      </c>
      <c r="B30" s="421" t="s">
        <v>1990</v>
      </c>
    </row>
    <row r="31" spans="1:19" ht="25.5" customHeight="1" x14ac:dyDescent="0.25">
      <c r="A31" s="420" t="s">
        <v>1991</v>
      </c>
      <c r="B31" s="421" t="s">
        <v>1992</v>
      </c>
    </row>
    <row r="32" spans="1:19" ht="25.5" customHeight="1" x14ac:dyDescent="0.25">
      <c r="A32" s="420" t="s">
        <v>1993</v>
      </c>
      <c r="B32" s="537" t="s">
        <v>1994</v>
      </c>
    </row>
    <row r="33" spans="1:2" ht="25.5" customHeight="1" x14ac:dyDescent="0.25">
      <c r="A33" s="420" t="s">
        <v>1995</v>
      </c>
      <c r="B33" s="537" t="s">
        <v>1996</v>
      </c>
    </row>
    <row r="34" spans="1:2" ht="21.2" customHeight="1" x14ac:dyDescent="0.25">
      <c r="A34" s="420" t="s">
        <v>1997</v>
      </c>
      <c r="B34" s="421" t="s">
        <v>1479</v>
      </c>
    </row>
    <row r="35" spans="1:2" ht="98.45" customHeight="1" x14ac:dyDescent="0.25">
      <c r="A35" s="420" t="s">
        <v>1998</v>
      </c>
      <c r="B35" s="421" t="s">
        <v>1451</v>
      </c>
    </row>
    <row r="36" spans="1:2" ht="18" x14ac:dyDescent="0.25">
      <c r="A36" s="420" t="s">
        <v>1999</v>
      </c>
      <c r="B36" s="421" t="s">
        <v>2000</v>
      </c>
    </row>
    <row r="37" spans="1:2" ht="18" x14ac:dyDescent="0.25">
      <c r="A37" s="420" t="s">
        <v>2001</v>
      </c>
      <c r="B37" s="421" t="s">
        <v>1275</v>
      </c>
    </row>
    <row r="38" spans="1:2" ht="18" x14ac:dyDescent="0.25">
      <c r="A38" s="538" t="s">
        <v>2002</v>
      </c>
      <c r="B38" s="539" t="s">
        <v>2003</v>
      </c>
    </row>
    <row r="39" spans="1:2" x14ac:dyDescent="0.25">
      <c r="A39" s="538" t="s">
        <v>2004</v>
      </c>
      <c r="B39" s="539" t="s">
        <v>2005</v>
      </c>
    </row>
    <row r="40" spans="1:2" ht="13.5" thickBot="1" x14ac:dyDescent="0.3">
      <c r="A40" s="422" t="s">
        <v>2006</v>
      </c>
      <c r="B40" s="423" t="s">
        <v>2007</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70" orientation="landscape"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7"/>
  <sheetViews>
    <sheetView showGridLines="0" zoomScale="98" zoomScaleNormal="98" workbookViewId="0">
      <selection activeCell="O23" sqref="O23"/>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9" max="9" width="11.7109375" style="13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887</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85"/>
      <c r="J6" s="5"/>
      <c r="K6" s="5"/>
    </row>
    <row r="7" spans="1:21" ht="15.75" thickBot="1" x14ac:dyDescent="0.3">
      <c r="B7" s="73"/>
      <c r="C7" s="75"/>
      <c r="D7" s="5"/>
      <c r="E7" s="17"/>
      <c r="F7" s="5" t="s">
        <v>129</v>
      </c>
      <c r="G7" s="5"/>
      <c r="H7" s="5"/>
      <c r="I7" s="85"/>
      <c r="J7" s="5"/>
      <c r="K7" s="5"/>
    </row>
    <row r="8" spans="1:21" ht="15.75" thickBot="1" x14ac:dyDescent="0.3">
      <c r="B8" s="169" t="s">
        <v>1192</v>
      </c>
      <c r="C8" s="209">
        <v>2022</v>
      </c>
      <c r="D8" s="214">
        <f>IF(E10="NO APLICA","NO APLICA",IF(E11="NO SE REPORTA","SIN INFORMACION",+G122))</f>
        <v>0.92219863199241503</v>
      </c>
      <c r="E8" s="210"/>
      <c r="F8" s="5" t="s">
        <v>130</v>
      </c>
      <c r="G8" s="5"/>
      <c r="H8" s="5"/>
      <c r="I8" s="85"/>
      <c r="J8" s="5"/>
      <c r="K8" s="5"/>
    </row>
    <row r="9" spans="1:21" x14ac:dyDescent="0.25">
      <c r="B9" s="363" t="s">
        <v>1193</v>
      </c>
      <c r="C9" s="86"/>
      <c r="D9" s="5"/>
      <c r="E9" s="5"/>
      <c r="F9" s="5"/>
      <c r="G9" s="5"/>
      <c r="H9" s="5"/>
      <c r="I9" s="8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1932</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C14" s="86"/>
      <c r="D14" s="5"/>
      <c r="E14" s="5"/>
      <c r="F14" s="5"/>
      <c r="G14" s="5"/>
      <c r="H14" s="5"/>
      <c r="I14" s="85"/>
      <c r="J14" s="5"/>
      <c r="K14" s="5"/>
    </row>
    <row r="15" spans="1:21" x14ac:dyDescent="0.25">
      <c r="B15" s="1045" t="s">
        <v>2</v>
      </c>
      <c r="C15" s="87"/>
      <c r="D15" s="1036" t="s">
        <v>3</v>
      </c>
      <c r="E15" s="1037"/>
      <c r="F15" s="1037"/>
      <c r="G15" s="1037"/>
      <c r="H15" s="1037"/>
      <c r="I15" s="1038"/>
      <c r="J15" s="5"/>
      <c r="K15" s="5"/>
    </row>
    <row r="16" spans="1:21" x14ac:dyDescent="0.25">
      <c r="B16" s="1046"/>
      <c r="C16" s="90"/>
      <c r="D16" s="1165" t="s">
        <v>905</v>
      </c>
      <c r="E16" s="1166"/>
      <c r="F16" s="1166"/>
      <c r="G16" s="1166"/>
      <c r="H16" s="1166"/>
      <c r="I16" s="1167"/>
      <c r="J16" s="5"/>
      <c r="K16" s="5"/>
    </row>
    <row r="17" spans="2:11" ht="15.75" thickBot="1" x14ac:dyDescent="0.3">
      <c r="B17" s="1046"/>
      <c r="C17" s="90"/>
      <c r="D17" s="1027"/>
      <c r="E17" s="1028"/>
      <c r="F17" s="1028"/>
      <c r="G17" s="1028"/>
      <c r="H17" s="1028"/>
      <c r="I17" s="1029"/>
      <c r="J17" s="5"/>
      <c r="K17" s="5"/>
    </row>
    <row r="18" spans="2:11" ht="36.75" thickBot="1" x14ac:dyDescent="0.3">
      <c r="B18" s="1046"/>
      <c r="C18" s="92"/>
      <c r="D18" s="42" t="s">
        <v>1467</v>
      </c>
      <c r="E18" s="144">
        <v>55</v>
      </c>
      <c r="F18" s="5"/>
      <c r="G18" s="5"/>
      <c r="H18" s="5"/>
      <c r="I18" s="310"/>
      <c r="J18" s="5"/>
      <c r="K18" s="5"/>
    </row>
    <row r="19" spans="2:11" ht="36.75" thickBot="1" x14ac:dyDescent="0.3">
      <c r="B19" s="1046"/>
      <c r="C19" s="92"/>
      <c r="D19" s="40" t="s">
        <v>906</v>
      </c>
      <c r="E19" s="144">
        <v>55</v>
      </c>
      <c r="F19" s="5"/>
      <c r="G19" s="5"/>
      <c r="H19" s="5"/>
      <c r="I19" s="310"/>
      <c r="J19" s="5"/>
      <c r="K19" s="5"/>
    </row>
    <row r="20" spans="2:11" ht="15.75" thickBot="1" x14ac:dyDescent="0.3">
      <c r="B20" s="1046"/>
      <c r="C20" s="90"/>
      <c r="D20" s="1051"/>
      <c r="E20" s="1052"/>
      <c r="F20" s="1052"/>
      <c r="G20" s="1052"/>
      <c r="H20" s="1052"/>
      <c r="I20" s="1053"/>
      <c r="J20" s="5"/>
      <c r="K20" s="5"/>
    </row>
    <row r="21" spans="2:11" ht="15.75" thickBot="1" x14ac:dyDescent="0.3">
      <c r="B21" s="1046"/>
      <c r="C21" s="92"/>
      <c r="D21" s="42" t="s">
        <v>150</v>
      </c>
      <c r="E21" s="38" t="s">
        <v>20</v>
      </c>
      <c r="F21" s="38" t="s">
        <v>21</v>
      </c>
      <c r="G21" s="38" t="s">
        <v>22</v>
      </c>
      <c r="H21" s="38" t="s">
        <v>23</v>
      </c>
      <c r="I21" s="88" t="s">
        <v>151</v>
      </c>
      <c r="J21" s="5"/>
      <c r="K21" s="5"/>
    </row>
    <row r="22" spans="2:11" ht="24.75" thickBot="1" x14ac:dyDescent="0.3">
      <c r="B22" s="1046"/>
      <c r="C22" s="92"/>
      <c r="D22" s="40" t="s">
        <v>907</v>
      </c>
      <c r="E22" s="144">
        <v>72</v>
      </c>
      <c r="F22" s="144"/>
      <c r="G22" s="144"/>
      <c r="H22" s="144"/>
      <c r="I22" s="311">
        <f>SUM(E22:H22)</f>
        <v>72</v>
      </c>
      <c r="J22" s="5"/>
      <c r="K22" s="5"/>
    </row>
    <row r="23" spans="2:11" ht="24.75" thickBot="1" x14ac:dyDescent="0.3">
      <c r="B23" s="1046"/>
      <c r="C23" s="92"/>
      <c r="D23" s="40" t="s">
        <v>908</v>
      </c>
      <c r="E23" s="144">
        <v>65</v>
      </c>
      <c r="F23" s="144"/>
      <c r="G23" s="144"/>
      <c r="H23" s="144"/>
      <c r="I23" s="311">
        <f>SUM(E23:H23)</f>
        <v>65</v>
      </c>
      <c r="J23" s="5"/>
      <c r="K23" s="5"/>
    </row>
    <row r="24" spans="2:11" ht="24.75" thickBot="1" x14ac:dyDescent="0.3">
      <c r="B24" s="1046"/>
      <c r="C24" s="92"/>
      <c r="D24" s="40" t="s">
        <v>909</v>
      </c>
      <c r="E24" s="183">
        <f>+E23/E22</f>
        <v>0.90277777777777779</v>
      </c>
      <c r="F24" s="183" t="e">
        <f>+F23/F22</f>
        <v>#DIV/0!</v>
      </c>
      <c r="G24" s="183" t="e">
        <f>+G23/G22</f>
        <v>#DIV/0!</v>
      </c>
      <c r="H24" s="183" t="e">
        <f>+H23/H22</f>
        <v>#DIV/0!</v>
      </c>
      <c r="I24" s="183">
        <f>+I23/I22</f>
        <v>0.90277777777777779</v>
      </c>
      <c r="J24" s="5"/>
      <c r="K24" s="5"/>
    </row>
    <row r="25" spans="2:11" x14ac:dyDescent="0.25">
      <c r="B25" s="1046"/>
      <c r="C25" s="90"/>
      <c r="D25" s="1036" t="s">
        <v>910</v>
      </c>
      <c r="E25" s="1037"/>
      <c r="F25" s="1037"/>
      <c r="G25" s="1037"/>
      <c r="H25" s="1037"/>
      <c r="I25" s="1038"/>
      <c r="J25" s="5"/>
      <c r="K25" s="5"/>
    </row>
    <row r="26" spans="2:11" ht="15.75" thickBot="1" x14ac:dyDescent="0.3">
      <c r="B26" s="1046"/>
      <c r="C26" s="90"/>
      <c r="D26" s="1027"/>
      <c r="E26" s="1028"/>
      <c r="F26" s="1028"/>
      <c r="G26" s="1028"/>
      <c r="H26" s="1028"/>
      <c r="I26" s="1029"/>
      <c r="J26" s="5"/>
      <c r="K26" s="5"/>
    </row>
    <row r="27" spans="2:11" ht="24" x14ac:dyDescent="0.25">
      <c r="B27" s="1046"/>
      <c r="C27" s="92"/>
      <c r="D27" s="1038" t="s">
        <v>911</v>
      </c>
      <c r="E27" s="1045" t="s">
        <v>912</v>
      </c>
      <c r="F27" s="1045" t="s">
        <v>913</v>
      </c>
      <c r="G27" s="1045" t="s">
        <v>914</v>
      </c>
      <c r="H27" s="62" t="s">
        <v>915</v>
      </c>
      <c r="I27" s="310"/>
      <c r="J27" s="5"/>
      <c r="K27" s="5"/>
    </row>
    <row r="28" spans="2:11" ht="15.75" thickBot="1" x14ac:dyDescent="0.3">
      <c r="B28" s="1046"/>
      <c r="C28" s="92"/>
      <c r="D28" s="1053"/>
      <c r="E28" s="1047"/>
      <c r="F28" s="1047"/>
      <c r="G28" s="1047"/>
      <c r="H28" s="40" t="s">
        <v>916</v>
      </c>
      <c r="I28" s="310"/>
      <c r="J28" s="5"/>
      <c r="K28" s="5"/>
    </row>
    <row r="29" spans="2:11" ht="15.75" thickBot="1" x14ac:dyDescent="0.3">
      <c r="B29" s="1046"/>
      <c r="C29" s="92"/>
      <c r="D29" s="30" t="s">
        <v>1201</v>
      </c>
      <c r="E29" s="144"/>
      <c r="F29" s="144"/>
      <c r="G29" s="144"/>
      <c r="H29" s="144"/>
      <c r="I29" s="310"/>
      <c r="J29" s="5"/>
      <c r="K29" s="5"/>
    </row>
    <row r="30" spans="2:11" ht="15.75" thickBot="1" x14ac:dyDescent="0.3">
      <c r="B30" s="1046"/>
      <c r="C30" s="92"/>
      <c r="D30" s="30" t="s">
        <v>2053</v>
      </c>
      <c r="E30" s="144"/>
      <c r="F30" s="144"/>
      <c r="G30" s="144"/>
      <c r="H30" s="144"/>
      <c r="I30" s="310"/>
      <c r="J30" s="5"/>
      <c r="K30" s="5"/>
    </row>
    <row r="31" spans="2:11" ht="15.75" thickBot="1" x14ac:dyDescent="0.3">
      <c r="B31" s="1046"/>
      <c r="C31" s="92"/>
      <c r="D31" s="30" t="s">
        <v>1203</v>
      </c>
      <c r="E31" s="144"/>
      <c r="F31" s="144"/>
      <c r="G31" s="144"/>
      <c r="H31" s="144"/>
      <c r="I31" s="310"/>
      <c r="J31" s="5"/>
      <c r="K31" s="5"/>
    </row>
    <row r="32" spans="2:11" ht="15.75" thickBot="1" x14ac:dyDescent="0.3">
      <c r="B32" s="1046"/>
      <c r="C32" s="92"/>
      <c r="D32" s="30" t="s">
        <v>2054</v>
      </c>
      <c r="E32" s="144"/>
      <c r="F32" s="144"/>
      <c r="G32" s="144"/>
      <c r="H32" s="144"/>
      <c r="I32" s="310"/>
      <c r="J32" s="5"/>
      <c r="K32" s="5"/>
    </row>
    <row r="33" spans="2:11" ht="15.75" thickBot="1" x14ac:dyDescent="0.3">
      <c r="B33" s="1046"/>
      <c r="C33" s="92"/>
      <c r="D33" s="30" t="s">
        <v>2055</v>
      </c>
      <c r="E33" s="144"/>
      <c r="F33" s="144"/>
      <c r="G33" s="144"/>
      <c r="H33" s="144"/>
      <c r="I33" s="310"/>
      <c r="J33" s="5"/>
      <c r="K33" s="5"/>
    </row>
    <row r="34" spans="2:11" ht="15.75" thickBot="1" x14ac:dyDescent="0.3">
      <c r="B34" s="1046"/>
      <c r="C34" s="92"/>
      <c r="D34" s="30"/>
      <c r="E34" s="144"/>
      <c r="F34" s="144"/>
      <c r="G34" s="144"/>
      <c r="H34" s="144"/>
      <c r="I34" s="310"/>
      <c r="J34" s="5"/>
      <c r="K34" s="5"/>
    </row>
    <row r="35" spans="2:11" ht="15.75" thickBot="1" x14ac:dyDescent="0.3">
      <c r="B35" s="1046"/>
      <c r="C35" s="92"/>
      <c r="D35" s="30"/>
      <c r="E35" s="144"/>
      <c r="F35" s="144"/>
      <c r="G35" s="144"/>
      <c r="H35" s="144"/>
      <c r="I35" s="310"/>
      <c r="J35" s="5"/>
      <c r="K35" s="5"/>
    </row>
    <row r="36" spans="2:11" ht="15.75" thickBot="1" x14ac:dyDescent="0.3">
      <c r="B36" s="1046"/>
      <c r="C36" s="92"/>
      <c r="D36" s="30"/>
      <c r="E36" s="144"/>
      <c r="F36" s="144"/>
      <c r="G36" s="144"/>
      <c r="H36" s="144"/>
      <c r="I36" s="310"/>
      <c r="J36" s="5"/>
      <c r="K36" s="5"/>
    </row>
    <row r="37" spans="2:11" ht="15.75" thickBot="1" x14ac:dyDescent="0.3">
      <c r="B37" s="1046"/>
      <c r="C37" s="92"/>
      <c r="D37" s="30"/>
      <c r="E37" s="144"/>
      <c r="F37" s="144"/>
      <c r="G37" s="144"/>
      <c r="H37" s="144"/>
      <c r="I37" s="310"/>
      <c r="J37" s="5"/>
      <c r="K37" s="5"/>
    </row>
    <row r="38" spans="2:11" ht="15.75" thickBot="1" x14ac:dyDescent="0.3">
      <c r="B38" s="1046"/>
      <c r="C38" s="92"/>
      <c r="D38" s="30"/>
      <c r="E38" s="144"/>
      <c r="F38" s="144"/>
      <c r="G38" s="144"/>
      <c r="H38" s="144"/>
      <c r="I38" s="310"/>
      <c r="J38" s="5"/>
      <c r="K38" s="5"/>
    </row>
    <row r="39" spans="2:11" ht="15.75" thickBot="1" x14ac:dyDescent="0.3">
      <c r="B39" s="1046"/>
      <c r="C39" s="92"/>
      <c r="D39" s="30"/>
      <c r="E39" s="144"/>
      <c r="F39" s="144"/>
      <c r="G39" s="144"/>
      <c r="H39" s="144"/>
      <c r="I39" s="310"/>
      <c r="J39" s="5"/>
      <c r="K39" s="5"/>
    </row>
    <row r="40" spans="2:11" ht="15.75" thickBot="1" x14ac:dyDescent="0.3">
      <c r="B40" s="1046"/>
      <c r="C40" s="92"/>
      <c r="D40" s="30"/>
      <c r="E40" s="144"/>
      <c r="F40" s="144"/>
      <c r="G40" s="144"/>
      <c r="H40" s="144"/>
      <c r="I40" s="310"/>
      <c r="J40" s="5"/>
      <c r="K40" s="5"/>
    </row>
    <row r="41" spans="2:11" ht="15.75" thickBot="1" x14ac:dyDescent="0.3">
      <c r="B41" s="1046"/>
      <c r="C41" s="92"/>
      <c r="D41" s="40" t="s">
        <v>151</v>
      </c>
      <c r="E41" s="312">
        <f>SUM(E29:E40)</f>
        <v>0</v>
      </c>
      <c r="F41" s="312">
        <f>SUM(F29:F40)</f>
        <v>0</v>
      </c>
      <c r="G41" s="312">
        <f>SUM(G29:G40)</f>
        <v>0</v>
      </c>
      <c r="H41" s="312">
        <f>SUM(H29:H40)</f>
        <v>0</v>
      </c>
      <c r="I41" s="310"/>
      <c r="J41" s="5"/>
      <c r="K41" s="5"/>
    </row>
    <row r="42" spans="2:11" x14ac:dyDescent="0.25">
      <c r="B42" s="1046"/>
      <c r="C42" s="90"/>
      <c r="D42" s="1027"/>
      <c r="E42" s="1028"/>
      <c r="F42" s="1028"/>
      <c r="G42" s="1028"/>
      <c r="H42" s="1028"/>
      <c r="I42" s="1029"/>
      <c r="J42" s="5"/>
      <c r="K42" s="5"/>
    </row>
    <row r="43" spans="2:11" x14ac:dyDescent="0.25">
      <c r="B43" s="1046"/>
      <c r="C43" s="90"/>
      <c r="D43" s="1165" t="s">
        <v>917</v>
      </c>
      <c r="E43" s="1166"/>
      <c r="F43" s="1166"/>
      <c r="G43" s="1166"/>
      <c r="H43" s="1166"/>
      <c r="I43" s="1167"/>
      <c r="J43" s="5"/>
      <c r="K43" s="5"/>
    </row>
    <row r="44" spans="2:11" ht="15.75" thickBot="1" x14ac:dyDescent="0.3">
      <c r="B44" s="1046"/>
      <c r="C44" s="90"/>
      <c r="D44" s="1027"/>
      <c r="E44" s="1028"/>
      <c r="F44" s="1028"/>
      <c r="G44" s="1028"/>
      <c r="H44" s="1028"/>
      <c r="I44" s="1029"/>
      <c r="J44" s="5"/>
      <c r="K44" s="5"/>
    </row>
    <row r="45" spans="2:11" ht="15.75" thickBot="1" x14ac:dyDescent="0.3">
      <c r="B45" s="1046"/>
      <c r="C45" s="92"/>
      <c r="D45" s="42" t="s">
        <v>150</v>
      </c>
      <c r="E45" s="38" t="s">
        <v>918</v>
      </c>
      <c r="F45" s="5"/>
      <c r="G45" s="5"/>
      <c r="H45" s="5"/>
      <c r="I45" s="310"/>
      <c r="J45" s="5"/>
      <c r="K45" s="5"/>
    </row>
    <row r="46" spans="2:11" ht="15.75" thickBot="1" x14ac:dyDescent="0.3">
      <c r="B46" s="1046"/>
      <c r="C46" s="92"/>
      <c r="D46" s="40" t="s">
        <v>1468</v>
      </c>
      <c r="E46" s="144"/>
      <c r="F46" s="5"/>
      <c r="G46" s="5"/>
      <c r="H46" s="5"/>
      <c r="I46" s="310"/>
      <c r="J46" s="5"/>
      <c r="K46" s="5"/>
    </row>
    <row r="47" spans="2:11" ht="24.75" thickBot="1" x14ac:dyDescent="0.3">
      <c r="B47" s="1046"/>
      <c r="C47" s="92"/>
      <c r="D47" s="40" t="s">
        <v>1469</v>
      </c>
      <c r="E47" s="144">
        <v>345</v>
      </c>
      <c r="F47" s="5"/>
      <c r="G47" s="5"/>
      <c r="H47" s="5"/>
      <c r="I47" s="310"/>
      <c r="J47" s="5"/>
      <c r="K47" s="5"/>
    </row>
    <row r="48" spans="2:11" ht="24.75" thickBot="1" x14ac:dyDescent="0.3">
      <c r="B48" s="1046"/>
      <c r="C48" s="92"/>
      <c r="D48" s="40" t="s">
        <v>1470</v>
      </c>
      <c r="E48" s="144"/>
      <c r="F48" s="5"/>
      <c r="G48" s="5"/>
      <c r="H48" s="5"/>
      <c r="I48" s="310"/>
      <c r="J48" s="5"/>
      <c r="K48" s="5"/>
    </row>
    <row r="49" spans="2:11" x14ac:dyDescent="0.25">
      <c r="B49" s="1046"/>
      <c r="C49" s="90"/>
      <c r="D49" s="1027"/>
      <c r="E49" s="1028"/>
      <c r="F49" s="1028"/>
      <c r="G49" s="1028"/>
      <c r="H49" s="1028"/>
      <c r="I49" s="1029"/>
      <c r="J49" s="5"/>
      <c r="K49" s="5"/>
    </row>
    <row r="50" spans="2:11" x14ac:dyDescent="0.25">
      <c r="B50" s="1046"/>
      <c r="C50" s="90"/>
      <c r="D50" s="1027" t="s">
        <v>919</v>
      </c>
      <c r="E50" s="1028"/>
      <c r="F50" s="1028"/>
      <c r="G50" s="1028"/>
      <c r="H50" s="1028"/>
      <c r="I50" s="1029"/>
      <c r="J50" s="5"/>
      <c r="K50" s="5"/>
    </row>
    <row r="51" spans="2:11" ht="15.75" thickBot="1" x14ac:dyDescent="0.3">
      <c r="B51" s="1046"/>
      <c r="C51" s="90"/>
      <c r="D51" s="1051"/>
      <c r="E51" s="1052"/>
      <c r="F51" s="1052"/>
      <c r="G51" s="1052"/>
      <c r="H51" s="1052"/>
      <c r="I51" s="1053"/>
      <c r="J51" s="5"/>
      <c r="K51" s="5"/>
    </row>
    <row r="52" spans="2:11" ht="15.75" thickBot="1" x14ac:dyDescent="0.3">
      <c r="B52" s="1046"/>
      <c r="C52" s="92"/>
      <c r="D52" s="42" t="s">
        <v>150</v>
      </c>
      <c r="E52" s="38" t="s">
        <v>20</v>
      </c>
      <c r="F52" s="38" t="s">
        <v>21</v>
      </c>
      <c r="G52" s="38" t="s">
        <v>22</v>
      </c>
      <c r="H52" s="38" t="s">
        <v>23</v>
      </c>
      <c r="I52" s="88" t="s">
        <v>151</v>
      </c>
      <c r="J52" s="5"/>
      <c r="K52" s="5"/>
    </row>
    <row r="53" spans="2:11" ht="24.75" thickBot="1" x14ac:dyDescent="0.3">
      <c r="B53" s="1046"/>
      <c r="C53" s="92"/>
      <c r="D53" s="40" t="s">
        <v>920</v>
      </c>
      <c r="E53" s="144">
        <v>428</v>
      </c>
      <c r="F53" s="144"/>
      <c r="G53" s="144"/>
      <c r="H53" s="144"/>
      <c r="I53" s="312">
        <f>SUM(E53:H53)</f>
        <v>428</v>
      </c>
      <c r="J53" s="5"/>
      <c r="K53" s="5"/>
    </row>
    <row r="54" spans="2:11" ht="24.75" thickBot="1" x14ac:dyDescent="0.3">
      <c r="B54" s="1046"/>
      <c r="C54" s="92"/>
      <c r="D54" s="40" t="s">
        <v>921</v>
      </c>
      <c r="E54" s="144">
        <v>376</v>
      </c>
      <c r="F54" s="144"/>
      <c r="G54" s="144"/>
      <c r="H54" s="144"/>
      <c r="I54" s="312">
        <f>SUM(E54:H54)</f>
        <v>376</v>
      </c>
      <c r="J54" s="5"/>
      <c r="K54" s="5"/>
    </row>
    <row r="55" spans="2:11" ht="24.75" thickBot="1" x14ac:dyDescent="0.3">
      <c r="B55" s="1046"/>
      <c r="C55" s="92"/>
      <c r="D55" s="40" t="s">
        <v>922</v>
      </c>
      <c r="E55" s="183">
        <f>+E54/E53</f>
        <v>0.87850467289719625</v>
      </c>
      <c r="F55" s="183" t="e">
        <f>+F54/F53</f>
        <v>#DIV/0!</v>
      </c>
      <c r="G55" s="183" t="e">
        <f>+G54/G53</f>
        <v>#DIV/0!</v>
      </c>
      <c r="H55" s="183" t="e">
        <f>+H54/H53</f>
        <v>#DIV/0!</v>
      </c>
      <c r="I55" s="183">
        <f>+I54/I53</f>
        <v>0.87850467289719625</v>
      </c>
      <c r="J55" s="5"/>
      <c r="K55" s="5"/>
    </row>
    <row r="56" spans="2:11" x14ac:dyDescent="0.25">
      <c r="B56" s="1046"/>
      <c r="C56" s="90"/>
      <c r="D56" s="1036"/>
      <c r="E56" s="1037"/>
      <c r="F56" s="1037"/>
      <c r="G56" s="1037"/>
      <c r="H56" s="1037"/>
      <c r="I56" s="1038"/>
      <c r="J56" s="5"/>
      <c r="K56" s="5"/>
    </row>
    <row r="57" spans="2:11" x14ac:dyDescent="0.25">
      <c r="B57" s="1046"/>
      <c r="C57" s="90"/>
      <c r="D57" s="1027" t="s">
        <v>923</v>
      </c>
      <c r="E57" s="1028"/>
      <c r="F57" s="1028"/>
      <c r="G57" s="1028"/>
      <c r="H57" s="1028"/>
      <c r="I57" s="1029"/>
      <c r="J57" s="5"/>
      <c r="K57" s="5"/>
    </row>
    <row r="58" spans="2:11" ht="15.75" thickBot="1" x14ac:dyDescent="0.3">
      <c r="B58" s="1046"/>
      <c r="C58" s="90"/>
      <c r="D58" s="1051"/>
      <c r="E58" s="1052"/>
      <c r="F58" s="1052"/>
      <c r="G58" s="1052"/>
      <c r="H58" s="1052"/>
      <c r="I58" s="1053"/>
      <c r="J58" s="5"/>
      <c r="K58" s="5"/>
    </row>
    <row r="59" spans="2:11" ht="15.75" thickBot="1" x14ac:dyDescent="0.3">
      <c r="B59" s="1046"/>
      <c r="C59" s="92"/>
      <c r="D59" s="42" t="s">
        <v>150</v>
      </c>
      <c r="E59" s="38" t="s">
        <v>20</v>
      </c>
      <c r="F59" s="38" t="s">
        <v>21</v>
      </c>
      <c r="G59" s="38" t="s">
        <v>22</v>
      </c>
      <c r="H59" s="38" t="s">
        <v>23</v>
      </c>
      <c r="I59" s="88" t="s">
        <v>151</v>
      </c>
      <c r="J59" s="5"/>
      <c r="K59" s="5"/>
    </row>
    <row r="60" spans="2:11" ht="24.75" thickBot="1" x14ac:dyDescent="0.3">
      <c r="B60" s="1046"/>
      <c r="C60" s="92"/>
      <c r="D60" s="40" t="s">
        <v>924</v>
      </c>
      <c r="E60" s="144"/>
      <c r="F60" s="144"/>
      <c r="G60" s="144"/>
      <c r="H60" s="144"/>
      <c r="I60" s="312">
        <f>SUM(E60:H60)</f>
        <v>0</v>
      </c>
      <c r="J60" s="5"/>
      <c r="K60" s="5"/>
    </row>
    <row r="61" spans="2:11" ht="24.75" thickBot="1" x14ac:dyDescent="0.3">
      <c r="B61" s="1046"/>
      <c r="C61" s="92"/>
      <c r="D61" s="40" t="s">
        <v>925</v>
      </c>
      <c r="E61" s="144"/>
      <c r="F61" s="144"/>
      <c r="G61" s="144"/>
      <c r="H61" s="144"/>
      <c r="I61" s="312">
        <f>SUM(E61:H61)</f>
        <v>0</v>
      </c>
      <c r="J61" s="5"/>
      <c r="K61" s="5"/>
    </row>
    <row r="62" spans="2:11" ht="24.75" thickBot="1" x14ac:dyDescent="0.3">
      <c r="B62" s="1046"/>
      <c r="C62" s="92"/>
      <c r="D62" s="40" t="s">
        <v>926</v>
      </c>
      <c r="E62" s="183" t="e">
        <f>+E61/E60</f>
        <v>#DIV/0!</v>
      </c>
      <c r="F62" s="183" t="e">
        <f>+F61/F60</f>
        <v>#DIV/0!</v>
      </c>
      <c r="G62" s="183" t="e">
        <f>+G61/G60</f>
        <v>#DIV/0!</v>
      </c>
      <c r="H62" s="183" t="e">
        <f>+H61/H60</f>
        <v>#DIV/0!</v>
      </c>
      <c r="I62" s="183" t="e">
        <f>+I61/I60</f>
        <v>#DIV/0!</v>
      </c>
      <c r="J62" s="5"/>
      <c r="K62" s="5"/>
    </row>
    <row r="63" spans="2:11" x14ac:dyDescent="0.25">
      <c r="B63" s="1046"/>
      <c r="C63" s="90"/>
      <c r="D63" s="1036"/>
      <c r="E63" s="1037"/>
      <c r="F63" s="1037"/>
      <c r="G63" s="1037"/>
      <c r="H63" s="1037"/>
      <c r="I63" s="1038"/>
      <c r="J63" s="5"/>
      <c r="K63" s="5"/>
    </row>
    <row r="64" spans="2:11" x14ac:dyDescent="0.25">
      <c r="B64" s="1046"/>
      <c r="C64" s="90"/>
      <c r="D64" s="1165" t="s">
        <v>1237</v>
      </c>
      <c r="E64" s="1166"/>
      <c r="F64" s="1166"/>
      <c r="G64" s="1166"/>
      <c r="H64" s="1166"/>
      <c r="I64" s="1167"/>
      <c r="J64" s="5"/>
      <c r="K64" s="5"/>
    </row>
    <row r="65" spans="2:11" ht="15.75" thickBot="1" x14ac:dyDescent="0.3">
      <c r="B65" s="1046"/>
      <c r="C65" s="90"/>
      <c r="D65" s="1027"/>
      <c r="E65" s="1028"/>
      <c r="F65" s="1028"/>
      <c r="G65" s="1028"/>
      <c r="H65" s="1028"/>
      <c r="I65" s="1029"/>
      <c r="J65" s="5"/>
      <c r="K65" s="5"/>
    </row>
    <row r="66" spans="2:11" ht="15.75" thickBot="1" x14ac:dyDescent="0.3">
      <c r="B66" s="1046"/>
      <c r="C66" s="92"/>
      <c r="D66" s="42" t="s">
        <v>150</v>
      </c>
      <c r="E66" s="38" t="s">
        <v>918</v>
      </c>
      <c r="F66" s="5"/>
      <c r="G66" s="5"/>
      <c r="H66" s="5"/>
      <c r="I66" s="310"/>
      <c r="J66" s="5"/>
      <c r="K66" s="5"/>
    </row>
    <row r="67" spans="2:11" ht="24.75" thickBot="1" x14ac:dyDescent="0.3">
      <c r="B67" s="1046"/>
      <c r="C67" s="92"/>
      <c r="D67" s="40" t="s">
        <v>1471</v>
      </c>
      <c r="E67" s="144">
        <v>97</v>
      </c>
      <c r="F67" s="5"/>
      <c r="G67" s="5"/>
      <c r="H67" s="5"/>
      <c r="I67" s="310"/>
      <c r="J67" s="5"/>
      <c r="K67" s="5"/>
    </row>
    <row r="68" spans="2:11" ht="24.75" thickBot="1" x14ac:dyDescent="0.3">
      <c r="B68" s="1046"/>
      <c r="C68" s="92"/>
      <c r="D68" s="40" t="s">
        <v>1472</v>
      </c>
      <c r="E68" s="144">
        <v>97</v>
      </c>
      <c r="F68" s="5"/>
      <c r="G68" s="5"/>
      <c r="H68" s="5"/>
      <c r="I68" s="310"/>
      <c r="J68" s="5"/>
      <c r="K68" s="5"/>
    </row>
    <row r="69" spans="2:11" ht="24.75" thickBot="1" x14ac:dyDescent="0.3">
      <c r="B69" s="1046"/>
      <c r="C69" s="92"/>
      <c r="D69" s="40" t="s">
        <v>1473</v>
      </c>
      <c r="E69" s="144"/>
      <c r="F69" s="5"/>
      <c r="G69" s="5"/>
      <c r="H69" s="5"/>
      <c r="I69" s="310"/>
      <c r="J69" s="5"/>
      <c r="K69" s="5"/>
    </row>
    <row r="70" spans="2:11" x14ac:dyDescent="0.25">
      <c r="B70" s="1046"/>
      <c r="C70" s="90"/>
      <c r="D70" s="1027"/>
      <c r="E70" s="1028"/>
      <c r="F70" s="1028"/>
      <c r="G70" s="1028"/>
      <c r="H70" s="1028"/>
      <c r="I70" s="1029"/>
      <c r="J70" s="5"/>
      <c r="K70" s="5"/>
    </row>
    <row r="71" spans="2:11" x14ac:dyDescent="0.25">
      <c r="B71" s="1046"/>
      <c r="C71" s="90"/>
      <c r="D71" s="1027" t="s">
        <v>927</v>
      </c>
      <c r="E71" s="1028"/>
      <c r="F71" s="1028"/>
      <c r="G71" s="1028"/>
      <c r="H71" s="1028"/>
      <c r="I71" s="1029"/>
      <c r="J71" s="5"/>
      <c r="K71" s="5"/>
    </row>
    <row r="72" spans="2:11" ht="15.75" thickBot="1" x14ac:dyDescent="0.3">
      <c r="B72" s="1046"/>
      <c r="C72" s="90"/>
      <c r="D72" s="1051"/>
      <c r="E72" s="1052"/>
      <c r="F72" s="1052"/>
      <c r="G72" s="1052"/>
      <c r="H72" s="1052"/>
      <c r="I72" s="1053"/>
      <c r="J72" s="5"/>
      <c r="K72" s="5"/>
    </row>
    <row r="73" spans="2:11" ht="15.75" thickBot="1" x14ac:dyDescent="0.3">
      <c r="B73" s="1046"/>
      <c r="C73" s="92"/>
      <c r="D73" s="42" t="s">
        <v>150</v>
      </c>
      <c r="E73" s="38" t="s">
        <v>20</v>
      </c>
      <c r="F73" s="38" t="s">
        <v>21</v>
      </c>
      <c r="G73" s="38" t="s">
        <v>22</v>
      </c>
      <c r="H73" s="38" t="s">
        <v>23</v>
      </c>
      <c r="I73" s="88" t="s">
        <v>151</v>
      </c>
      <c r="J73" s="5"/>
      <c r="K73" s="5"/>
    </row>
    <row r="74" spans="2:11" ht="36.75" thickBot="1" x14ac:dyDescent="0.3">
      <c r="B74" s="1046"/>
      <c r="C74" s="92"/>
      <c r="D74" s="40" t="s">
        <v>928</v>
      </c>
      <c r="E74" s="144">
        <v>92</v>
      </c>
      <c r="F74" s="144"/>
      <c r="G74" s="144"/>
      <c r="H74" s="144"/>
      <c r="I74" s="312">
        <f>SUM(E74:H74)</f>
        <v>92</v>
      </c>
      <c r="J74" s="5"/>
      <c r="K74" s="5"/>
    </row>
    <row r="75" spans="2:11" ht="24.75" thickBot="1" x14ac:dyDescent="0.3">
      <c r="B75" s="1046"/>
      <c r="C75" s="92"/>
      <c r="D75" s="40" t="s">
        <v>929</v>
      </c>
      <c r="E75" s="144">
        <v>90</v>
      </c>
      <c r="F75" s="144"/>
      <c r="G75" s="144"/>
      <c r="H75" s="144"/>
      <c r="I75" s="312">
        <f>SUM(E75:H75)</f>
        <v>90</v>
      </c>
      <c r="J75" s="5"/>
      <c r="K75" s="5"/>
    </row>
    <row r="76" spans="2:11" ht="24.75" thickBot="1" x14ac:dyDescent="0.3">
      <c r="B76" s="1046"/>
      <c r="C76" s="92"/>
      <c r="D76" s="40" t="s">
        <v>930</v>
      </c>
      <c r="E76" s="183">
        <f>+E75/E74</f>
        <v>0.97826086956521741</v>
      </c>
      <c r="F76" s="183" t="e">
        <f>+F75/F74</f>
        <v>#DIV/0!</v>
      </c>
      <c r="G76" s="183" t="e">
        <f>+G75/G74</f>
        <v>#DIV/0!</v>
      </c>
      <c r="H76" s="183" t="e">
        <f>+H75/H74</f>
        <v>#DIV/0!</v>
      </c>
      <c r="I76" s="183">
        <f>+I75/I74</f>
        <v>0.97826086956521741</v>
      </c>
      <c r="J76" s="5"/>
      <c r="K76" s="5"/>
    </row>
    <row r="77" spans="2:11" ht="15.75" thickBot="1" x14ac:dyDescent="0.3">
      <c r="B77" s="1046"/>
      <c r="C77" s="99"/>
      <c r="D77" s="128"/>
      <c r="E77" s="313"/>
      <c r="F77" s="313"/>
      <c r="G77" s="313"/>
      <c r="H77" s="313"/>
      <c r="I77" s="314"/>
      <c r="J77" s="5"/>
      <c r="K77" s="5"/>
    </row>
    <row r="78" spans="2:11" x14ac:dyDescent="0.25">
      <c r="B78" s="1046"/>
      <c r="C78" s="90"/>
      <c r="D78" s="1036" t="s">
        <v>931</v>
      </c>
      <c r="E78" s="1037"/>
      <c r="F78" s="1037"/>
      <c r="G78" s="1037"/>
      <c r="H78" s="1037"/>
      <c r="I78" s="1038"/>
      <c r="J78" s="5"/>
      <c r="K78" s="5"/>
    </row>
    <row r="79" spans="2:11" ht="15.75" thickBot="1" x14ac:dyDescent="0.3">
      <c r="B79" s="1046"/>
      <c r="C79" s="90"/>
      <c r="D79" s="1051"/>
      <c r="E79" s="1052"/>
      <c r="F79" s="1052"/>
      <c r="G79" s="1052"/>
      <c r="H79" s="1052"/>
      <c r="I79" s="1053"/>
      <c r="J79" s="5"/>
      <c r="K79" s="5"/>
    </row>
    <row r="80" spans="2:11" ht="15.75" thickBot="1" x14ac:dyDescent="0.3">
      <c r="B80" s="1046"/>
      <c r="C80" s="92"/>
      <c r="D80" s="42" t="s">
        <v>150</v>
      </c>
      <c r="E80" s="38" t="s">
        <v>20</v>
      </c>
      <c r="F80" s="38" t="s">
        <v>21</v>
      </c>
      <c r="G80" s="38" t="s">
        <v>22</v>
      </c>
      <c r="H80" s="38" t="s">
        <v>23</v>
      </c>
      <c r="I80" s="88" t="s">
        <v>151</v>
      </c>
      <c r="J80" s="5"/>
      <c r="K80" s="5"/>
    </row>
    <row r="81" spans="2:11" ht="24.75" thickBot="1" x14ac:dyDescent="0.3">
      <c r="B81" s="1046"/>
      <c r="C81" s="92"/>
      <c r="D81" s="40" t="s">
        <v>932</v>
      </c>
      <c r="E81" s="144"/>
      <c r="F81" s="144"/>
      <c r="G81" s="144"/>
      <c r="H81" s="144"/>
      <c r="I81" s="312">
        <f>SUM(E81:H81)</f>
        <v>0</v>
      </c>
      <c r="J81" s="5"/>
      <c r="K81" s="5"/>
    </row>
    <row r="82" spans="2:11" ht="24.75" thickBot="1" x14ac:dyDescent="0.3">
      <c r="B82" s="1046"/>
      <c r="C82" s="92"/>
      <c r="D82" s="40" t="s">
        <v>933</v>
      </c>
      <c r="E82" s="144"/>
      <c r="F82" s="144"/>
      <c r="G82" s="144"/>
      <c r="H82" s="144"/>
      <c r="I82" s="312">
        <f>SUM(E82:H82)</f>
        <v>0</v>
      </c>
      <c r="J82" s="5"/>
      <c r="K82" s="5"/>
    </row>
    <row r="83" spans="2:11" ht="24.75" thickBot="1" x14ac:dyDescent="0.3">
      <c r="B83" s="1046"/>
      <c r="C83" s="92"/>
      <c r="D83" s="40" t="s">
        <v>934</v>
      </c>
      <c r="E83" s="183" t="e">
        <f>+E82/E81</f>
        <v>#DIV/0!</v>
      </c>
      <c r="F83" s="183" t="e">
        <f>+F82/F81</f>
        <v>#DIV/0!</v>
      </c>
      <c r="G83" s="183" t="e">
        <f>+G82/G81</f>
        <v>#DIV/0!</v>
      </c>
      <c r="H83" s="183" t="e">
        <f>+H82/H81</f>
        <v>#DIV/0!</v>
      </c>
      <c r="I83" s="183" t="e">
        <f>+I82/I81</f>
        <v>#DIV/0!</v>
      </c>
      <c r="J83" s="5"/>
      <c r="K83" s="5"/>
    </row>
    <row r="84" spans="2:11" x14ac:dyDescent="0.25">
      <c r="B84" s="1046"/>
      <c r="C84" s="90"/>
      <c r="D84" s="1036"/>
      <c r="E84" s="1037"/>
      <c r="F84" s="1037"/>
      <c r="G84" s="1037"/>
      <c r="H84" s="1037"/>
      <c r="I84" s="1038"/>
      <c r="J84" s="5"/>
      <c r="K84" s="5"/>
    </row>
    <row r="85" spans="2:11" ht="15.75" thickBot="1" x14ac:dyDescent="0.3">
      <c r="B85" s="1046"/>
      <c r="C85" s="90"/>
      <c r="D85" s="1165" t="s">
        <v>935</v>
      </c>
      <c r="E85" s="1166"/>
      <c r="F85" s="1166"/>
      <c r="G85" s="1166"/>
      <c r="H85" s="1166"/>
      <c r="I85" s="1167"/>
      <c r="J85" s="5"/>
      <c r="K85" s="5"/>
    </row>
    <row r="86" spans="2:11" ht="15.75" thickBot="1" x14ac:dyDescent="0.3">
      <c r="B86" s="1046"/>
      <c r="C86" s="92"/>
      <c r="D86" s="42" t="s">
        <v>150</v>
      </c>
      <c r="E86" s="38" t="s">
        <v>918</v>
      </c>
      <c r="F86" s="5"/>
      <c r="G86" s="5"/>
      <c r="H86" s="5"/>
      <c r="I86" s="310"/>
      <c r="J86" s="5"/>
      <c r="K86" s="5"/>
    </row>
    <row r="87" spans="2:11" ht="24.75" thickBot="1" x14ac:dyDescent="0.3">
      <c r="B87" s="1046"/>
      <c r="C87" s="92"/>
      <c r="D87" s="40" t="s">
        <v>1474</v>
      </c>
      <c r="E87" s="144">
        <v>85</v>
      </c>
      <c r="F87" s="5"/>
      <c r="G87" s="5"/>
      <c r="H87" s="5"/>
      <c r="I87" s="310"/>
      <c r="J87" s="5"/>
      <c r="K87" s="5"/>
    </row>
    <row r="88" spans="2:11" ht="24.75" thickBot="1" x14ac:dyDescent="0.3">
      <c r="B88" s="1046"/>
      <c r="C88" s="92"/>
      <c r="D88" s="40" t="s">
        <v>1475</v>
      </c>
      <c r="E88" s="144">
        <v>85</v>
      </c>
      <c r="F88" s="5"/>
      <c r="G88" s="5"/>
      <c r="H88" s="5"/>
      <c r="I88" s="310"/>
      <c r="J88" s="5"/>
      <c r="K88" s="5"/>
    </row>
    <row r="89" spans="2:11" x14ac:dyDescent="0.25">
      <c r="B89" s="1046"/>
      <c r="C89" s="90"/>
      <c r="D89" s="1027"/>
      <c r="E89" s="1028"/>
      <c r="F89" s="1028"/>
      <c r="G89" s="1028"/>
      <c r="H89" s="1028"/>
      <c r="I89" s="1029"/>
      <c r="J89" s="5"/>
      <c r="K89" s="5"/>
    </row>
    <row r="90" spans="2:11" ht="15.75" thickBot="1" x14ac:dyDescent="0.3">
      <c r="B90" s="1046"/>
      <c r="C90" s="90"/>
      <c r="D90" s="1051" t="s">
        <v>936</v>
      </c>
      <c r="E90" s="1052"/>
      <c r="F90" s="1052"/>
      <c r="G90" s="1052"/>
      <c r="H90" s="1052"/>
      <c r="I90" s="1053"/>
      <c r="J90" s="5"/>
      <c r="K90" s="5"/>
    </row>
    <row r="91" spans="2:11" ht="15.75" thickBot="1" x14ac:dyDescent="0.3">
      <c r="B91" s="1046"/>
      <c r="C91" s="92"/>
      <c r="D91" s="42" t="s">
        <v>150</v>
      </c>
      <c r="E91" s="38" t="s">
        <v>20</v>
      </c>
      <c r="F91" s="38" t="s">
        <v>21</v>
      </c>
      <c r="G91" s="38" t="s">
        <v>22</v>
      </c>
      <c r="H91" s="38" t="s">
        <v>23</v>
      </c>
      <c r="I91" s="88" t="s">
        <v>151</v>
      </c>
      <c r="J91" s="5"/>
      <c r="K91" s="5"/>
    </row>
    <row r="92" spans="2:11" ht="36.75" thickBot="1" x14ac:dyDescent="0.3">
      <c r="B92" s="1046"/>
      <c r="C92" s="92"/>
      <c r="D92" s="40" t="s">
        <v>937</v>
      </c>
      <c r="E92" s="144">
        <v>65</v>
      </c>
      <c r="F92" s="144"/>
      <c r="G92" s="144"/>
      <c r="H92" s="144"/>
      <c r="I92" s="312">
        <f>SUM(E92:H92)</f>
        <v>65</v>
      </c>
      <c r="J92" s="5"/>
      <c r="K92" s="5"/>
    </row>
    <row r="93" spans="2:11" ht="24.75" thickBot="1" x14ac:dyDescent="0.3">
      <c r="B93" s="1046"/>
      <c r="C93" s="92"/>
      <c r="D93" s="40" t="s">
        <v>938</v>
      </c>
      <c r="E93" s="144">
        <v>65</v>
      </c>
      <c r="F93" s="144"/>
      <c r="G93" s="144"/>
      <c r="H93" s="144"/>
      <c r="I93" s="312">
        <f>SUM(E93:H93)</f>
        <v>65</v>
      </c>
      <c r="J93" s="5"/>
      <c r="K93" s="5"/>
    </row>
    <row r="94" spans="2:11" ht="36.75" thickBot="1" x14ac:dyDescent="0.3">
      <c r="B94" s="1046"/>
      <c r="C94" s="92"/>
      <c r="D94" s="40" t="s">
        <v>939</v>
      </c>
      <c r="E94" s="183">
        <f>+E93/E92</f>
        <v>1</v>
      </c>
      <c r="F94" s="183" t="e">
        <f>+F93/F92</f>
        <v>#DIV/0!</v>
      </c>
      <c r="G94" s="183" t="e">
        <f>+G93/G92</f>
        <v>#DIV/0!</v>
      </c>
      <c r="H94" s="183" t="e">
        <f>+H93/H92</f>
        <v>#DIV/0!</v>
      </c>
      <c r="I94" s="183">
        <f>+I93/I92</f>
        <v>1</v>
      </c>
      <c r="J94" s="5"/>
      <c r="K94" s="5"/>
    </row>
    <row r="95" spans="2:11" x14ac:dyDescent="0.25">
      <c r="B95" s="1046"/>
      <c r="C95" s="90"/>
      <c r="D95" s="1036"/>
      <c r="E95" s="1037"/>
      <c r="F95" s="1037"/>
      <c r="G95" s="1037"/>
      <c r="H95" s="1037"/>
      <c r="I95" s="1038"/>
      <c r="J95" s="5"/>
      <c r="K95" s="5"/>
    </row>
    <row r="96" spans="2:11" x14ac:dyDescent="0.25">
      <c r="B96" s="1046"/>
      <c r="C96" s="90"/>
      <c r="D96" s="1027" t="s">
        <v>940</v>
      </c>
      <c r="E96" s="1028"/>
      <c r="F96" s="1028"/>
      <c r="G96" s="1028"/>
      <c r="H96" s="1028"/>
      <c r="I96" s="1029"/>
      <c r="J96" s="5"/>
      <c r="K96" s="5"/>
    </row>
    <row r="97" spans="2:11" ht="15.75" thickBot="1" x14ac:dyDescent="0.3">
      <c r="B97" s="1046"/>
      <c r="C97" s="90"/>
      <c r="D97" s="1051"/>
      <c r="E97" s="1052"/>
      <c r="F97" s="1052"/>
      <c r="G97" s="1052"/>
      <c r="H97" s="1052"/>
      <c r="I97" s="1053"/>
      <c r="J97" s="5"/>
      <c r="K97" s="5"/>
    </row>
    <row r="98" spans="2:11" ht="15.75" thickBot="1" x14ac:dyDescent="0.3">
      <c r="B98" s="1046"/>
      <c r="C98" s="92"/>
      <c r="D98" s="42" t="s">
        <v>150</v>
      </c>
      <c r="E98" s="38" t="s">
        <v>20</v>
      </c>
      <c r="F98" s="38" t="s">
        <v>21</v>
      </c>
      <c r="G98" s="38" t="s">
        <v>22</v>
      </c>
      <c r="H98" s="38" t="s">
        <v>23</v>
      </c>
      <c r="I98" s="88" t="s">
        <v>151</v>
      </c>
      <c r="J98" s="5"/>
      <c r="K98" s="5"/>
    </row>
    <row r="99" spans="2:11" ht="24.75" thickBot="1" x14ac:dyDescent="0.3">
      <c r="B99" s="1046"/>
      <c r="C99" s="92"/>
      <c r="D99" s="40" t="s">
        <v>941</v>
      </c>
      <c r="E99" s="144"/>
      <c r="F99" s="144"/>
      <c r="G99" s="144"/>
      <c r="H99" s="144"/>
      <c r="I99" s="312">
        <f>SUM(E99:H99)</f>
        <v>0</v>
      </c>
      <c r="J99" s="5"/>
      <c r="K99" s="5"/>
    </row>
    <row r="100" spans="2:11" ht="24.75" thickBot="1" x14ac:dyDescent="0.3">
      <c r="B100" s="1046"/>
      <c r="C100" s="92"/>
      <c r="D100" s="40" t="s">
        <v>942</v>
      </c>
      <c r="E100" s="144"/>
      <c r="F100" s="144"/>
      <c r="G100" s="144"/>
      <c r="H100" s="144"/>
      <c r="I100" s="312">
        <f>SUM(E100:H100)</f>
        <v>0</v>
      </c>
      <c r="J100" s="5"/>
      <c r="K100" s="5"/>
    </row>
    <row r="101" spans="2:11" ht="36.75" thickBot="1" x14ac:dyDescent="0.3">
      <c r="B101" s="1046"/>
      <c r="C101" s="92"/>
      <c r="D101" s="40" t="s">
        <v>943</v>
      </c>
      <c r="E101" s="183" t="e">
        <f>+E100/E99</f>
        <v>#DIV/0!</v>
      </c>
      <c r="F101" s="183" t="e">
        <f>+F100/F99</f>
        <v>#DIV/0!</v>
      </c>
      <c r="G101" s="183" t="e">
        <f>+G100/G99</f>
        <v>#DIV/0!</v>
      </c>
      <c r="H101" s="183" t="e">
        <f>+H100/H99</f>
        <v>#DIV/0!</v>
      </c>
      <c r="I101" s="183" t="e">
        <f>+I100/I99</f>
        <v>#DIV/0!</v>
      </c>
      <c r="J101" s="5"/>
      <c r="K101" s="5"/>
    </row>
    <row r="102" spans="2:11" x14ac:dyDescent="0.25">
      <c r="B102" s="1046"/>
      <c r="C102" s="90"/>
      <c r="D102" s="1036"/>
      <c r="E102" s="1037"/>
      <c r="F102" s="1037"/>
      <c r="G102" s="1037"/>
      <c r="H102" s="1037"/>
      <c r="I102" s="1038"/>
      <c r="J102" s="5"/>
      <c r="K102" s="5"/>
    </row>
    <row r="103" spans="2:11" x14ac:dyDescent="0.25">
      <c r="B103" s="1046"/>
      <c r="C103" s="90"/>
      <c r="D103" s="1165" t="s">
        <v>944</v>
      </c>
      <c r="E103" s="1166"/>
      <c r="F103" s="1166"/>
      <c r="G103" s="1166"/>
      <c r="H103" s="1166"/>
      <c r="I103" s="1167"/>
      <c r="J103" s="5"/>
      <c r="K103" s="5"/>
    </row>
    <row r="104" spans="2:11" ht="15.75" thickBot="1" x14ac:dyDescent="0.3">
      <c r="B104" s="1046"/>
      <c r="C104" s="90"/>
      <c r="D104" s="1027"/>
      <c r="E104" s="1028"/>
      <c r="F104" s="1028"/>
      <c r="G104" s="1028"/>
      <c r="H104" s="1028"/>
      <c r="I104" s="1029"/>
      <c r="J104" s="5"/>
      <c r="K104" s="5"/>
    </row>
    <row r="105" spans="2:11" ht="15.75" thickBot="1" x14ac:dyDescent="0.3">
      <c r="B105" s="1046"/>
      <c r="C105" s="92"/>
      <c r="D105" s="42" t="s">
        <v>150</v>
      </c>
      <c r="E105" s="38" t="s">
        <v>918</v>
      </c>
      <c r="F105" s="5"/>
      <c r="G105" s="5"/>
      <c r="H105" s="5"/>
      <c r="I105" s="310"/>
      <c r="J105" s="5"/>
      <c r="K105" s="5"/>
    </row>
    <row r="106" spans="2:11" ht="24.75" thickBot="1" x14ac:dyDescent="0.3">
      <c r="B106" s="1046"/>
      <c r="C106" s="92"/>
      <c r="D106" s="40" t="s">
        <v>1476</v>
      </c>
      <c r="E106" s="144">
        <v>25</v>
      </c>
      <c r="F106" s="5"/>
      <c r="G106" s="5"/>
      <c r="H106" s="5"/>
      <c r="I106" s="310"/>
      <c r="J106" s="5"/>
      <c r="K106" s="5"/>
    </row>
    <row r="107" spans="2:11" ht="24.75" thickBot="1" x14ac:dyDescent="0.3">
      <c r="B107" s="1046"/>
      <c r="C107" s="92"/>
      <c r="D107" s="40" t="s">
        <v>1477</v>
      </c>
      <c r="E107" s="144">
        <v>25</v>
      </c>
      <c r="F107" s="5"/>
      <c r="G107" s="5"/>
      <c r="H107" s="5"/>
      <c r="I107" s="310"/>
      <c r="J107" s="5"/>
      <c r="K107" s="5"/>
    </row>
    <row r="108" spans="2:11" x14ac:dyDescent="0.25">
      <c r="B108" s="1046"/>
      <c r="C108" s="90"/>
      <c r="D108" s="1027"/>
      <c r="E108" s="1028"/>
      <c r="F108" s="1028"/>
      <c r="G108" s="1028"/>
      <c r="H108" s="1028"/>
      <c r="I108" s="1029"/>
      <c r="J108" s="5"/>
      <c r="K108" s="5"/>
    </row>
    <row r="109" spans="2:11" x14ac:dyDescent="0.25">
      <c r="B109" s="1046"/>
      <c r="C109" s="90"/>
      <c r="D109" s="1027" t="s">
        <v>945</v>
      </c>
      <c r="E109" s="1028"/>
      <c r="F109" s="1028"/>
      <c r="G109" s="1028"/>
      <c r="H109" s="1028"/>
      <c r="I109" s="1029"/>
      <c r="J109" s="5"/>
      <c r="K109" s="5"/>
    </row>
    <row r="110" spans="2:11" ht="15.75" thickBot="1" x14ac:dyDescent="0.3">
      <c r="B110" s="1046"/>
      <c r="C110" s="90"/>
      <c r="D110" s="1051"/>
      <c r="E110" s="1052"/>
      <c r="F110" s="1052"/>
      <c r="G110" s="1052"/>
      <c r="H110" s="1052"/>
      <c r="I110" s="1053"/>
      <c r="J110" s="5"/>
      <c r="K110" s="5"/>
    </row>
    <row r="111" spans="2:11" ht="15.75" thickBot="1" x14ac:dyDescent="0.3">
      <c r="B111" s="1046"/>
      <c r="C111" s="92"/>
      <c r="D111" s="42" t="s">
        <v>150</v>
      </c>
      <c r="E111" s="38" t="s">
        <v>20</v>
      </c>
      <c r="F111" s="38" t="s">
        <v>21</v>
      </c>
      <c r="G111" s="38" t="s">
        <v>22</v>
      </c>
      <c r="H111" s="38" t="s">
        <v>23</v>
      </c>
      <c r="I111" s="88" t="s">
        <v>151</v>
      </c>
      <c r="J111" s="5"/>
      <c r="K111" s="5"/>
    </row>
    <row r="112" spans="2:11" ht="36.75" thickBot="1" x14ac:dyDescent="0.3">
      <c r="B112" s="1046"/>
      <c r="C112" s="92"/>
      <c r="D112" s="40" t="s">
        <v>946</v>
      </c>
      <c r="E112" s="144">
        <v>20</v>
      </c>
      <c r="F112" s="144"/>
      <c r="G112" s="144"/>
      <c r="H112" s="144"/>
      <c r="I112" s="312">
        <f>SUM(E112:H112)</f>
        <v>20</v>
      </c>
      <c r="J112" s="5"/>
      <c r="K112" s="5"/>
    </row>
    <row r="113" spans="2:11" ht="24.75" thickBot="1" x14ac:dyDescent="0.3">
      <c r="B113" s="1046"/>
      <c r="C113" s="92"/>
      <c r="D113" s="40" t="s">
        <v>947</v>
      </c>
      <c r="E113" s="144">
        <v>18</v>
      </c>
      <c r="F113" s="144"/>
      <c r="G113" s="144"/>
      <c r="H113" s="144"/>
      <c r="I113" s="312">
        <f>SUM(E113:H113)</f>
        <v>18</v>
      </c>
      <c r="J113" s="5"/>
      <c r="K113" s="5"/>
    </row>
    <row r="114" spans="2:11" ht="24.75" thickBot="1" x14ac:dyDescent="0.3">
      <c r="B114" s="1047"/>
      <c r="C114" s="2"/>
      <c r="D114" s="40" t="s">
        <v>948</v>
      </c>
      <c r="E114" s="183">
        <f>+E113/E112</f>
        <v>0.9</v>
      </c>
      <c r="F114" s="183" t="e">
        <f>+F113/F112</f>
        <v>#DIV/0!</v>
      </c>
      <c r="G114" s="183" t="e">
        <f>+G113/G112</f>
        <v>#DIV/0!</v>
      </c>
      <c r="H114" s="183" t="e">
        <f>+H113/H112</f>
        <v>#DIV/0!</v>
      </c>
      <c r="I114" s="183">
        <f>+I113/I112</f>
        <v>0.9</v>
      </c>
      <c r="J114" s="5"/>
      <c r="K114" s="5"/>
    </row>
    <row r="115" spans="2:11" ht="15.75" thickBot="1" x14ac:dyDescent="0.3">
      <c r="B115" s="37"/>
      <c r="C115" s="86"/>
      <c r="D115" s="5"/>
      <c r="E115" s="5"/>
      <c r="F115" s="5"/>
      <c r="G115" s="5"/>
      <c r="H115" s="5"/>
      <c r="I115" s="85"/>
      <c r="J115" s="5"/>
      <c r="K115" s="5"/>
    </row>
    <row r="116" spans="2:11" ht="24.75" thickBot="1" x14ac:dyDescent="0.3">
      <c r="B116" s="37"/>
      <c r="C116" s="86"/>
      <c r="D116" s="51" t="s">
        <v>1239</v>
      </c>
      <c r="E116" s="51" t="s">
        <v>1240</v>
      </c>
      <c r="F116" s="51" t="s">
        <v>698</v>
      </c>
      <c r="G116" s="51" t="s">
        <v>1241</v>
      </c>
      <c r="H116" s="5"/>
      <c r="I116" s="85"/>
      <c r="J116" s="5"/>
      <c r="K116" s="5"/>
    </row>
    <row r="117" spans="2:11" ht="24.75" thickBot="1" x14ac:dyDescent="0.3">
      <c r="B117" s="37"/>
      <c r="C117" s="86"/>
      <c r="D117" s="51" t="str">
        <f>+D24</f>
        <v>Porcentaje de licencias ambientales con seguimiento (PLACS)</v>
      </c>
      <c r="E117" s="183">
        <f>+E24</f>
        <v>0.90277777777777779</v>
      </c>
      <c r="F117" s="308">
        <v>0.3</v>
      </c>
      <c r="G117" s="183">
        <f>+E117*F117</f>
        <v>0.27083333333333331</v>
      </c>
      <c r="H117" s="5"/>
      <c r="I117" s="85"/>
      <c r="J117" s="5"/>
      <c r="K117" s="5"/>
    </row>
    <row r="118" spans="2:11" ht="24.75" thickBot="1" x14ac:dyDescent="0.3">
      <c r="B118" s="37"/>
      <c r="C118" s="86"/>
      <c r="D118" s="51" t="str">
        <f>+D55</f>
        <v>Porcentaje de concesiones de agua con seguimiento (PCACS)</v>
      </c>
      <c r="E118" s="183">
        <f>+E55</f>
        <v>0.87850467289719625</v>
      </c>
      <c r="F118" s="308">
        <v>0.25</v>
      </c>
      <c r="G118" s="183">
        <f>+E118*F118</f>
        <v>0.21962616822429906</v>
      </c>
      <c r="H118" s="5"/>
      <c r="I118" s="85"/>
      <c r="J118" s="5"/>
      <c r="K118" s="5"/>
    </row>
    <row r="119" spans="2:11" ht="24.75" thickBot="1" x14ac:dyDescent="0.3">
      <c r="B119" s="37"/>
      <c r="C119" s="86"/>
      <c r="D119" s="51" t="str">
        <f>+D76</f>
        <v>Porcentaje de permisos de vertimiento de agua con seguimiento (PVACS)</v>
      </c>
      <c r="E119" s="183">
        <f>+E76</f>
        <v>0.97826086956521741</v>
      </c>
      <c r="F119" s="308">
        <v>0.15</v>
      </c>
      <c r="G119" s="183">
        <f>+E119*F119</f>
        <v>0.14673913043478259</v>
      </c>
      <c r="H119" s="5"/>
      <c r="I119" s="85"/>
      <c r="J119" s="5"/>
      <c r="K119" s="5"/>
    </row>
    <row r="120" spans="2:11" ht="36.75" thickBot="1" x14ac:dyDescent="0.3">
      <c r="B120" s="37"/>
      <c r="C120" s="86"/>
      <c r="D120" s="51" t="str">
        <f>+D94</f>
        <v>Porcentaje de permisos de aprovechamiento forestal con seguimiento (PPAFCS)</v>
      </c>
      <c r="E120" s="183">
        <f>+E94</f>
        <v>1</v>
      </c>
      <c r="F120" s="308">
        <v>0.15</v>
      </c>
      <c r="G120" s="183">
        <f>+E120*F120</f>
        <v>0.15</v>
      </c>
      <c r="H120" s="5"/>
      <c r="I120" s="85"/>
      <c r="J120" s="5"/>
      <c r="K120" s="5"/>
    </row>
    <row r="121" spans="2:11" ht="24.75" thickBot="1" x14ac:dyDescent="0.3">
      <c r="B121" s="37"/>
      <c r="C121" s="86"/>
      <c r="D121" s="51" t="str">
        <f>+D114</f>
        <v>Porcentaje de permisos de emisiones atmosféricas con seguimiento (PEACS)</v>
      </c>
      <c r="E121" s="183">
        <f>+E114</f>
        <v>0.9</v>
      </c>
      <c r="F121" s="308">
        <v>0.15</v>
      </c>
      <c r="G121" s="183">
        <f>+E121*F121</f>
        <v>0.13500000000000001</v>
      </c>
      <c r="H121" s="5"/>
      <c r="I121" s="85"/>
      <c r="J121" s="5"/>
      <c r="K121" s="5"/>
    </row>
    <row r="122" spans="2:11" ht="24.75" thickBot="1" x14ac:dyDescent="0.3">
      <c r="B122" s="37"/>
      <c r="C122" s="86"/>
      <c r="D122" s="51" t="s">
        <v>1238</v>
      </c>
      <c r="E122" s="51"/>
      <c r="F122" s="309">
        <f>+Formulas!D26</f>
        <v>1</v>
      </c>
      <c r="G122" s="183">
        <f>SUM(G117:G121)</f>
        <v>0.92219863199241503</v>
      </c>
      <c r="H122" s="5"/>
      <c r="I122" s="85"/>
      <c r="J122" s="5"/>
      <c r="K122" s="5"/>
    </row>
    <row r="123" spans="2:11" ht="15.75" thickBot="1" x14ac:dyDescent="0.3">
      <c r="B123" s="37"/>
      <c r="C123" s="86"/>
      <c r="D123" s="5"/>
      <c r="E123" s="5"/>
      <c r="F123" s="5"/>
      <c r="G123" s="5"/>
      <c r="H123" s="5"/>
      <c r="I123" s="85"/>
      <c r="J123" s="5"/>
      <c r="K123" s="5"/>
    </row>
    <row r="124" spans="2:11" ht="108.75" thickBot="1" x14ac:dyDescent="0.3">
      <c r="B124" s="51" t="s">
        <v>34</v>
      </c>
      <c r="C124" s="96"/>
      <c r="D124" s="42" t="s">
        <v>949</v>
      </c>
      <c r="E124" s="5"/>
      <c r="F124" s="5"/>
      <c r="G124" s="5"/>
      <c r="H124" s="5"/>
      <c r="I124" s="85"/>
      <c r="J124" s="5"/>
      <c r="K124" s="5"/>
    </row>
    <row r="125" spans="2:11" ht="72.75" thickBot="1" x14ac:dyDescent="0.3">
      <c r="B125" s="46" t="s">
        <v>36</v>
      </c>
      <c r="C125" s="2"/>
      <c r="D125" s="40" t="s">
        <v>159</v>
      </c>
      <c r="E125" s="5"/>
      <c r="F125" s="5"/>
      <c r="G125" s="5"/>
      <c r="H125" s="5"/>
      <c r="I125" s="85"/>
      <c r="J125" s="5"/>
      <c r="K125" s="5"/>
    </row>
    <row r="126" spans="2:11" ht="15.75" thickBot="1" x14ac:dyDescent="0.3">
      <c r="B126" s="1"/>
      <c r="C126" s="74"/>
      <c r="D126" s="5"/>
      <c r="E126" s="5"/>
      <c r="F126" s="5"/>
      <c r="G126" s="5"/>
      <c r="H126" s="5"/>
      <c r="I126" s="85"/>
      <c r="J126" s="5"/>
      <c r="K126" s="5"/>
    </row>
    <row r="127" spans="2:11" ht="24" customHeight="1" thickBot="1" x14ac:dyDescent="0.3">
      <c r="B127" s="1054" t="s">
        <v>38</v>
      </c>
      <c r="C127" s="1055"/>
      <c r="D127" s="1055"/>
      <c r="E127" s="1056"/>
      <c r="F127" s="5"/>
      <c r="G127" s="5"/>
      <c r="H127" s="5"/>
      <c r="I127" s="85"/>
      <c r="J127" s="5"/>
      <c r="K127" s="5"/>
    </row>
    <row r="128" spans="2:11" ht="15.75" thickBot="1" x14ac:dyDescent="0.3">
      <c r="B128" s="1045">
        <v>1</v>
      </c>
      <c r="C128" s="92"/>
      <c r="D128" s="47" t="s">
        <v>39</v>
      </c>
      <c r="E128" s="30" t="s">
        <v>1771</v>
      </c>
      <c r="F128" s="5"/>
      <c r="G128" s="5"/>
      <c r="H128" s="5"/>
      <c r="I128" s="85"/>
      <c r="J128" s="5"/>
      <c r="K128" s="5"/>
    </row>
    <row r="129" spans="2:11" ht="15.75" thickBot="1" x14ac:dyDescent="0.3">
      <c r="B129" s="1046"/>
      <c r="C129" s="92"/>
      <c r="D129" s="40" t="s">
        <v>40</v>
      </c>
      <c r="E129" s="30" t="s">
        <v>1776</v>
      </c>
      <c r="F129" s="5"/>
      <c r="G129" s="5"/>
      <c r="H129" s="5"/>
      <c r="I129" s="85"/>
      <c r="J129" s="5"/>
      <c r="K129" s="5"/>
    </row>
    <row r="130" spans="2:11" ht="15.75" thickBot="1" x14ac:dyDescent="0.3">
      <c r="B130" s="1046"/>
      <c r="C130" s="92"/>
      <c r="D130" s="40" t="s">
        <v>41</v>
      </c>
      <c r="E130" s="30" t="s">
        <v>1777</v>
      </c>
      <c r="F130" s="5"/>
      <c r="G130" s="5"/>
      <c r="H130" s="5"/>
      <c r="I130" s="85"/>
      <c r="J130" s="5"/>
      <c r="K130" s="5"/>
    </row>
    <row r="131" spans="2:11" ht="15.75" thickBot="1" x14ac:dyDescent="0.3">
      <c r="B131" s="1046"/>
      <c r="C131" s="92"/>
      <c r="D131" s="40" t="s">
        <v>42</v>
      </c>
      <c r="E131" s="30" t="s">
        <v>1778</v>
      </c>
      <c r="F131" s="5"/>
      <c r="G131" s="5"/>
      <c r="H131" s="5"/>
      <c r="I131" s="85"/>
      <c r="J131" s="5"/>
      <c r="K131" s="5"/>
    </row>
    <row r="132" spans="2:11" ht="15.75" thickBot="1" x14ac:dyDescent="0.3">
      <c r="B132" s="1046"/>
      <c r="C132" s="92"/>
      <c r="D132" s="40" t="s">
        <v>43</v>
      </c>
      <c r="E132" s="515" t="s">
        <v>1779</v>
      </c>
      <c r="F132" s="5"/>
      <c r="G132" s="5"/>
      <c r="H132" s="5"/>
      <c r="I132" s="85"/>
      <c r="J132" s="5"/>
      <c r="K132" s="5"/>
    </row>
    <row r="133" spans="2:11" ht="15.75" thickBot="1" x14ac:dyDescent="0.3">
      <c r="B133" s="1046"/>
      <c r="C133" s="92"/>
      <c r="D133" s="40" t="s">
        <v>44</v>
      </c>
      <c r="E133" s="30">
        <v>4380200</v>
      </c>
      <c r="F133" s="5"/>
      <c r="G133" s="5"/>
      <c r="H133" s="5"/>
      <c r="I133" s="85"/>
      <c r="J133" s="5"/>
      <c r="K133" s="5"/>
    </row>
    <row r="134" spans="2:11" ht="15.75" thickBot="1" x14ac:dyDescent="0.3">
      <c r="B134" s="1047"/>
      <c r="C134" s="2"/>
      <c r="D134" s="40" t="s">
        <v>45</v>
      </c>
      <c r="E134" s="30" t="s">
        <v>1773</v>
      </c>
      <c r="F134" s="5"/>
      <c r="G134" s="5"/>
      <c r="H134" s="5"/>
      <c r="I134" s="85"/>
      <c r="J134" s="5"/>
      <c r="K134" s="5"/>
    </row>
    <row r="135" spans="2:11" ht="15.75" thickBot="1" x14ac:dyDescent="0.3">
      <c r="B135" s="1"/>
      <c r="C135" s="74"/>
      <c r="D135" s="5"/>
      <c r="E135" s="5"/>
      <c r="F135" s="5"/>
      <c r="G135" s="5"/>
      <c r="H135" s="5"/>
      <c r="I135" s="85"/>
      <c r="J135" s="5"/>
      <c r="K135" s="5"/>
    </row>
    <row r="136" spans="2:11" ht="15.75" thickBot="1" x14ac:dyDescent="0.3">
      <c r="B136" s="1054" t="s">
        <v>46</v>
      </c>
      <c r="C136" s="1055"/>
      <c r="D136" s="1055"/>
      <c r="E136" s="1056"/>
      <c r="F136" s="5"/>
      <c r="G136" s="5"/>
      <c r="H136" s="5"/>
      <c r="I136" s="85"/>
      <c r="J136" s="5"/>
      <c r="K136" s="5"/>
    </row>
    <row r="137" spans="2:11" ht="15.75" thickBot="1" x14ac:dyDescent="0.3">
      <c r="B137" s="1045">
        <v>1</v>
      </c>
      <c r="C137" s="92"/>
      <c r="D137" s="47" t="s">
        <v>39</v>
      </c>
      <c r="E137" s="217" t="s">
        <v>47</v>
      </c>
      <c r="F137" s="5"/>
      <c r="G137" s="5"/>
      <c r="H137" s="5"/>
      <c r="I137" s="85"/>
      <c r="J137" s="5"/>
      <c r="K137" s="5"/>
    </row>
    <row r="138" spans="2:11" ht="15.75" thickBot="1" x14ac:dyDescent="0.3">
      <c r="B138" s="1046"/>
      <c r="C138" s="92"/>
      <c r="D138" s="40" t="s">
        <v>40</v>
      </c>
      <c r="E138" s="217" t="s">
        <v>160</v>
      </c>
      <c r="F138" s="5"/>
      <c r="G138" s="5"/>
      <c r="H138" s="5"/>
      <c r="I138" s="85"/>
      <c r="J138" s="5"/>
      <c r="K138" s="5"/>
    </row>
    <row r="139" spans="2:11" ht="15.75" thickBot="1" x14ac:dyDescent="0.3">
      <c r="B139" s="1046"/>
      <c r="C139" s="92"/>
      <c r="D139" s="40" t="s">
        <v>41</v>
      </c>
      <c r="E139" s="163"/>
      <c r="F139" s="5"/>
      <c r="G139" s="5"/>
      <c r="H139" s="5"/>
      <c r="I139" s="85"/>
      <c r="J139" s="5"/>
      <c r="K139" s="5"/>
    </row>
    <row r="140" spans="2:11" ht="15.75" thickBot="1" x14ac:dyDescent="0.3">
      <c r="B140" s="1046"/>
      <c r="C140" s="92"/>
      <c r="D140" s="40" t="s">
        <v>42</v>
      </c>
      <c r="E140" s="163"/>
      <c r="F140" s="5"/>
      <c r="G140" s="5"/>
      <c r="H140" s="5"/>
      <c r="I140" s="85"/>
      <c r="J140" s="5"/>
      <c r="K140" s="5"/>
    </row>
    <row r="141" spans="2:11" ht="15.75" thickBot="1" x14ac:dyDescent="0.3">
      <c r="B141" s="1046"/>
      <c r="C141" s="92"/>
      <c r="D141" s="40" t="s">
        <v>43</v>
      </c>
      <c r="E141" s="163"/>
      <c r="F141" s="5"/>
      <c r="G141" s="5"/>
      <c r="H141" s="5"/>
      <c r="I141" s="85"/>
      <c r="J141" s="5"/>
      <c r="K141" s="5"/>
    </row>
    <row r="142" spans="2:11" ht="15.75" thickBot="1" x14ac:dyDescent="0.3">
      <c r="B142" s="1046"/>
      <c r="C142" s="92"/>
      <c r="D142" s="40" t="s">
        <v>44</v>
      </c>
      <c r="E142" s="163"/>
      <c r="F142" s="5"/>
      <c r="G142" s="5"/>
      <c r="H142" s="5"/>
      <c r="I142" s="85"/>
      <c r="J142" s="5"/>
      <c r="K142" s="5"/>
    </row>
    <row r="143" spans="2:11" ht="15.75" thickBot="1" x14ac:dyDescent="0.3">
      <c r="B143" s="1047"/>
      <c r="C143" s="2"/>
      <c r="D143" s="40" t="s">
        <v>45</v>
      </c>
      <c r="E143" s="163"/>
      <c r="F143" s="5"/>
      <c r="G143" s="5"/>
      <c r="H143" s="5"/>
      <c r="I143" s="85"/>
      <c r="J143" s="5"/>
      <c r="K143" s="5"/>
    </row>
    <row r="144" spans="2:11" ht="15.75" thickBot="1" x14ac:dyDescent="0.3">
      <c r="B144" s="1"/>
      <c r="C144" s="74"/>
      <c r="D144" s="5"/>
      <c r="E144" s="5"/>
      <c r="F144" s="5"/>
      <c r="G144" s="5"/>
      <c r="H144" s="5"/>
      <c r="I144" s="85"/>
      <c r="J144" s="5"/>
      <c r="K144" s="5"/>
    </row>
    <row r="145" spans="2:11" ht="15" customHeight="1" thickBot="1" x14ac:dyDescent="0.3">
      <c r="B145" s="162" t="s">
        <v>49</v>
      </c>
      <c r="C145" s="121"/>
      <c r="D145" s="121"/>
      <c r="E145" s="122"/>
      <c r="G145" s="5"/>
      <c r="H145" s="5"/>
      <c r="I145" s="85"/>
      <c r="J145" s="5"/>
      <c r="K145" s="5"/>
    </row>
    <row r="146" spans="2:11" ht="24.75" thickBot="1" x14ac:dyDescent="0.3">
      <c r="B146" s="46" t="s">
        <v>50</v>
      </c>
      <c r="C146" s="40" t="s">
        <v>51</v>
      </c>
      <c r="D146" s="40" t="s">
        <v>52</v>
      </c>
      <c r="E146" s="40" t="s">
        <v>53</v>
      </c>
      <c r="F146" s="5"/>
      <c r="G146" s="5"/>
      <c r="H146" s="5"/>
      <c r="I146" s="85"/>
      <c r="J146" s="5"/>
    </row>
    <row r="147" spans="2:11" ht="60.75" thickBot="1" x14ac:dyDescent="0.3">
      <c r="B147" s="48">
        <v>42401</v>
      </c>
      <c r="C147" s="40">
        <v>0.01</v>
      </c>
      <c r="D147" s="49" t="s">
        <v>950</v>
      </c>
      <c r="E147" s="40"/>
      <c r="F147" s="5"/>
      <c r="G147" s="5"/>
      <c r="H147" s="5"/>
      <c r="I147" s="85"/>
      <c r="J147" s="5"/>
    </row>
    <row r="148" spans="2:11" ht="15.75" thickBot="1" x14ac:dyDescent="0.3">
      <c r="B148" s="3"/>
      <c r="C148" s="93"/>
      <c r="D148" s="5"/>
      <c r="E148" s="5"/>
      <c r="F148" s="5"/>
      <c r="G148" s="5"/>
      <c r="H148" s="5"/>
      <c r="I148" s="85"/>
      <c r="J148" s="5"/>
      <c r="K148" s="5"/>
    </row>
    <row r="149" spans="2:11" ht="15.75" thickBot="1" x14ac:dyDescent="0.3">
      <c r="B149" s="127" t="s">
        <v>55</v>
      </c>
      <c r="C149" s="94"/>
      <c r="D149" s="5"/>
      <c r="E149" s="5"/>
      <c r="F149" s="5"/>
      <c r="G149" s="5"/>
      <c r="H149" s="5"/>
      <c r="I149" s="85"/>
      <c r="J149" s="5"/>
      <c r="K149" s="5"/>
    </row>
    <row r="150" spans="2:11" ht="63" customHeight="1" thickBot="1" x14ac:dyDescent="0.3">
      <c r="B150" s="1208"/>
      <c r="C150" s="1209"/>
      <c r="D150" s="1209"/>
      <c r="E150" s="1210"/>
      <c r="F150" s="5"/>
      <c r="G150" s="5"/>
      <c r="H150" s="5"/>
      <c r="I150" s="85"/>
      <c r="J150" s="5"/>
      <c r="K150" s="5"/>
    </row>
    <row r="151" spans="2:11" ht="15.75" thickBot="1" x14ac:dyDescent="0.3">
      <c r="B151" s="5"/>
      <c r="D151" s="5"/>
      <c r="E151" s="5"/>
      <c r="F151" s="5"/>
      <c r="G151" s="5"/>
      <c r="H151" s="5"/>
      <c r="I151" s="85"/>
      <c r="J151" s="5"/>
      <c r="K151" s="5"/>
    </row>
    <row r="152" spans="2:11" ht="24.75" thickBot="1" x14ac:dyDescent="0.3">
      <c r="B152" s="50" t="s">
        <v>56</v>
      </c>
      <c r="C152" s="95"/>
      <c r="D152" s="5"/>
      <c r="E152" s="5"/>
      <c r="F152" s="5"/>
      <c r="G152" s="5"/>
      <c r="H152" s="5"/>
      <c r="I152" s="85"/>
      <c r="J152" s="5"/>
      <c r="K152" s="5"/>
    </row>
    <row r="153" spans="2:11" ht="15.75" thickBot="1" x14ac:dyDescent="0.3">
      <c r="B153" s="1" t="s">
        <v>888</v>
      </c>
      <c r="C153" s="74"/>
      <c r="D153" s="5"/>
      <c r="E153" s="5"/>
      <c r="F153" s="5"/>
      <c r="G153" s="5"/>
      <c r="H153" s="5"/>
      <c r="I153" s="85"/>
      <c r="J153" s="5"/>
      <c r="K153" s="5"/>
    </row>
    <row r="154" spans="2:11" ht="60.75" thickBot="1" x14ac:dyDescent="0.3">
      <c r="B154" s="51" t="s">
        <v>57</v>
      </c>
      <c r="C154" s="96"/>
      <c r="D154" s="42" t="s">
        <v>889</v>
      </c>
      <c r="E154" s="5"/>
      <c r="F154" s="5"/>
      <c r="G154" s="5"/>
      <c r="H154" s="5"/>
      <c r="I154" s="85"/>
      <c r="J154" s="5"/>
      <c r="K154" s="5"/>
    </row>
    <row r="155" spans="2:11" x14ac:dyDescent="0.25">
      <c r="B155" s="1045" t="s">
        <v>59</v>
      </c>
      <c r="C155" s="92"/>
      <c r="D155" s="52" t="s">
        <v>60</v>
      </c>
      <c r="E155" s="5"/>
      <c r="F155" s="5"/>
      <c r="G155" s="5"/>
      <c r="H155" s="5"/>
      <c r="I155" s="85"/>
      <c r="J155" s="5"/>
      <c r="K155" s="5"/>
    </row>
    <row r="156" spans="2:11" ht="108" x14ac:dyDescent="0.25">
      <c r="B156" s="1046"/>
      <c r="C156" s="92"/>
      <c r="D156" s="45" t="s">
        <v>890</v>
      </c>
      <c r="E156" s="5"/>
      <c r="F156" s="5"/>
      <c r="G156" s="5"/>
      <c r="H156" s="5"/>
      <c r="I156" s="85"/>
      <c r="J156" s="5"/>
      <c r="K156" s="5"/>
    </row>
    <row r="157" spans="2:11" x14ac:dyDescent="0.25">
      <c r="B157" s="1046"/>
      <c r="C157" s="92"/>
      <c r="D157" s="52" t="s">
        <v>134</v>
      </c>
      <c r="E157" s="5"/>
      <c r="F157" s="5"/>
      <c r="G157" s="5"/>
      <c r="H157" s="5"/>
      <c r="I157" s="85"/>
      <c r="J157" s="5"/>
      <c r="K157" s="5"/>
    </row>
    <row r="158" spans="2:11" x14ac:dyDescent="0.25">
      <c r="B158" s="1046"/>
      <c r="C158" s="92"/>
      <c r="D158" s="45" t="s">
        <v>64</v>
      </c>
      <c r="E158" s="5"/>
      <c r="F158" s="5"/>
      <c r="G158" s="5"/>
      <c r="H158" s="5"/>
      <c r="I158" s="85"/>
      <c r="J158" s="5"/>
      <c r="K158" s="5"/>
    </row>
    <row r="159" spans="2:11" x14ac:dyDescent="0.25">
      <c r="B159" s="1046"/>
      <c r="C159" s="92"/>
      <c r="D159" s="45" t="s">
        <v>65</v>
      </c>
      <c r="E159" s="5"/>
      <c r="F159" s="5"/>
      <c r="G159" s="5"/>
      <c r="H159" s="5"/>
      <c r="I159" s="85"/>
      <c r="J159" s="5"/>
      <c r="K159" s="5"/>
    </row>
    <row r="160" spans="2:11" x14ac:dyDescent="0.25">
      <c r="B160" s="1046"/>
      <c r="C160" s="92"/>
      <c r="D160" s="45" t="s">
        <v>843</v>
      </c>
      <c r="E160" s="5"/>
      <c r="F160" s="5"/>
      <c r="G160" s="5"/>
      <c r="H160" s="5"/>
      <c r="I160" s="85"/>
      <c r="J160" s="5"/>
      <c r="K160" s="5"/>
    </row>
    <row r="161" spans="2:11" ht="36.75" thickBot="1" x14ac:dyDescent="0.3">
      <c r="B161" s="1047"/>
      <c r="C161" s="2"/>
      <c r="D161" s="40" t="s">
        <v>891</v>
      </c>
      <c r="E161" s="5"/>
      <c r="F161" s="5"/>
      <c r="G161" s="5"/>
      <c r="H161" s="5"/>
      <c r="I161" s="85"/>
      <c r="J161" s="5"/>
      <c r="K161" s="5"/>
    </row>
    <row r="162" spans="2:11" ht="24.75" thickBot="1" x14ac:dyDescent="0.3">
      <c r="B162" s="46" t="s">
        <v>72</v>
      </c>
      <c r="C162" s="2"/>
      <c r="D162" s="40"/>
      <c r="E162" s="5"/>
      <c r="F162" s="5"/>
      <c r="G162" s="5"/>
      <c r="H162" s="5"/>
      <c r="I162" s="85"/>
      <c r="J162" s="5"/>
      <c r="K162" s="5"/>
    </row>
    <row r="163" spans="2:11" ht="312" x14ac:dyDescent="0.25">
      <c r="B163" s="1045" t="s">
        <v>73</v>
      </c>
      <c r="C163" s="92"/>
      <c r="D163" s="45" t="s">
        <v>892</v>
      </c>
      <c r="E163" s="5"/>
      <c r="F163" s="5"/>
      <c r="G163" s="5"/>
      <c r="H163" s="5"/>
      <c r="I163" s="85"/>
      <c r="J163" s="5"/>
      <c r="K163" s="5"/>
    </row>
    <row r="164" spans="2:11" ht="324" x14ac:dyDescent="0.25">
      <c r="B164" s="1046"/>
      <c r="C164" s="92"/>
      <c r="D164" s="45" t="s">
        <v>893</v>
      </c>
      <c r="E164" s="5"/>
      <c r="F164" s="5"/>
      <c r="G164" s="5"/>
      <c r="H164" s="5"/>
      <c r="I164" s="85"/>
      <c r="J164" s="5"/>
      <c r="K164" s="5"/>
    </row>
    <row r="165" spans="2:11" ht="108" x14ac:dyDescent="0.25">
      <c r="B165" s="1046"/>
      <c r="C165" s="92"/>
      <c r="D165" s="45" t="s">
        <v>894</v>
      </c>
      <c r="E165" s="5"/>
      <c r="F165" s="5"/>
      <c r="G165" s="5"/>
      <c r="H165" s="5"/>
      <c r="I165" s="85"/>
      <c r="J165" s="5"/>
      <c r="K165" s="5"/>
    </row>
    <row r="166" spans="2:11" ht="72.75" thickBot="1" x14ac:dyDescent="0.3">
      <c r="B166" s="1047"/>
      <c r="C166" s="2"/>
      <c r="D166" s="40" t="s">
        <v>895</v>
      </c>
      <c r="E166" s="5"/>
      <c r="F166" s="5"/>
      <c r="G166" s="5"/>
      <c r="H166" s="5"/>
      <c r="I166" s="85"/>
      <c r="J166" s="5"/>
      <c r="K166" s="5"/>
    </row>
    <row r="167" spans="2:11" ht="24" x14ac:dyDescent="0.25">
      <c r="B167" s="1045" t="s">
        <v>90</v>
      </c>
      <c r="C167" s="92"/>
      <c r="D167" s="52" t="s">
        <v>887</v>
      </c>
      <c r="E167" s="5"/>
      <c r="F167" s="5"/>
      <c r="G167" s="5"/>
      <c r="H167" s="5"/>
      <c r="I167" s="85"/>
      <c r="J167" s="5"/>
      <c r="K167" s="5"/>
    </row>
    <row r="168" spans="2:11" x14ac:dyDescent="0.25">
      <c r="B168" s="1046"/>
      <c r="C168" s="92"/>
      <c r="D168" s="16"/>
      <c r="E168" s="5"/>
      <c r="F168" s="5"/>
      <c r="G168" s="5"/>
      <c r="H168" s="5"/>
      <c r="I168" s="85"/>
      <c r="J168" s="5"/>
      <c r="K168" s="5"/>
    </row>
    <row r="169" spans="2:11" x14ac:dyDescent="0.25">
      <c r="B169" s="1046"/>
      <c r="C169" s="92"/>
      <c r="D169" s="45" t="s">
        <v>91</v>
      </c>
      <c r="E169" s="5"/>
      <c r="F169" s="5"/>
      <c r="G169" s="5"/>
      <c r="H169" s="5"/>
      <c r="I169" s="85"/>
      <c r="J169" s="5"/>
      <c r="K169" s="5"/>
    </row>
    <row r="170" spans="2:11" ht="37.5" x14ac:dyDescent="0.25">
      <c r="B170" s="1046"/>
      <c r="C170" s="92"/>
      <c r="D170" s="45" t="s">
        <v>896</v>
      </c>
      <c r="E170" s="5"/>
      <c r="F170" s="5"/>
      <c r="G170" s="5"/>
      <c r="H170" s="5"/>
      <c r="I170" s="85"/>
      <c r="J170" s="5"/>
      <c r="K170" s="5"/>
    </row>
    <row r="171" spans="2:11" ht="37.5" x14ac:dyDescent="0.25">
      <c r="B171" s="1046"/>
      <c r="C171" s="92"/>
      <c r="D171" s="45" t="s">
        <v>897</v>
      </c>
      <c r="E171" s="5"/>
      <c r="F171" s="5"/>
      <c r="G171" s="5"/>
      <c r="H171" s="5"/>
      <c r="I171" s="85"/>
      <c r="J171" s="5"/>
      <c r="K171" s="5"/>
    </row>
    <row r="172" spans="2:11" ht="60" x14ac:dyDescent="0.25">
      <c r="B172" s="1046"/>
      <c r="C172" s="92"/>
      <c r="D172" s="45" t="s">
        <v>898</v>
      </c>
      <c r="E172" s="5"/>
      <c r="F172" s="5"/>
      <c r="G172" s="5"/>
      <c r="H172" s="5"/>
      <c r="I172" s="85"/>
      <c r="J172" s="5"/>
      <c r="K172" s="5"/>
    </row>
    <row r="173" spans="2:11" ht="97.5" x14ac:dyDescent="0.25">
      <c r="B173" s="1046"/>
      <c r="C173" s="92"/>
      <c r="D173" s="45" t="s">
        <v>899</v>
      </c>
      <c r="E173" s="5"/>
      <c r="F173" s="5"/>
      <c r="G173" s="5"/>
      <c r="H173" s="5"/>
      <c r="I173" s="85"/>
      <c r="J173" s="5"/>
      <c r="K173" s="5"/>
    </row>
    <row r="174" spans="2:11" ht="24" x14ac:dyDescent="0.25">
      <c r="B174" s="1046"/>
      <c r="C174" s="92"/>
      <c r="D174" s="52" t="s">
        <v>900</v>
      </c>
      <c r="E174" s="5"/>
      <c r="F174" s="5"/>
      <c r="G174" s="5"/>
      <c r="H174" s="5"/>
      <c r="I174" s="85"/>
      <c r="J174" s="5"/>
      <c r="K174" s="5"/>
    </row>
    <row r="175" spans="2:11" x14ac:dyDescent="0.25">
      <c r="B175" s="1046"/>
      <c r="C175" s="92"/>
      <c r="D175" s="16"/>
      <c r="E175" s="5"/>
      <c r="F175" s="5"/>
      <c r="G175" s="5"/>
      <c r="H175" s="5"/>
      <c r="I175" s="85"/>
      <c r="J175" s="5"/>
      <c r="K175" s="5"/>
    </row>
    <row r="176" spans="2:11" x14ac:dyDescent="0.25">
      <c r="B176" s="1046"/>
      <c r="C176" s="92"/>
      <c r="D176" s="45" t="s">
        <v>91</v>
      </c>
      <c r="E176" s="5"/>
      <c r="F176" s="5"/>
      <c r="G176" s="5"/>
      <c r="H176" s="5"/>
      <c r="I176" s="85"/>
      <c r="J176" s="5"/>
      <c r="K176" s="5"/>
    </row>
    <row r="177" spans="2:11" ht="37.5" x14ac:dyDescent="0.25">
      <c r="B177" s="1046"/>
      <c r="C177" s="92"/>
      <c r="D177" s="45" t="s">
        <v>901</v>
      </c>
      <c r="E177" s="5"/>
      <c r="F177" s="5"/>
      <c r="G177" s="5"/>
      <c r="H177" s="5"/>
      <c r="I177" s="85"/>
      <c r="J177" s="5"/>
      <c r="K177" s="5"/>
    </row>
    <row r="178" spans="2:11" ht="37.5" x14ac:dyDescent="0.25">
      <c r="B178" s="1046"/>
      <c r="C178" s="92"/>
      <c r="D178" s="45" t="s">
        <v>902</v>
      </c>
      <c r="E178" s="5"/>
      <c r="F178" s="5"/>
      <c r="G178" s="5"/>
      <c r="H178" s="5"/>
      <c r="I178" s="85"/>
      <c r="J178" s="5"/>
      <c r="K178" s="5"/>
    </row>
    <row r="179" spans="2:11" ht="37.5" x14ac:dyDescent="0.25">
      <c r="B179" s="1046"/>
      <c r="C179" s="92"/>
      <c r="D179" s="45" t="s">
        <v>903</v>
      </c>
      <c r="E179" s="5"/>
      <c r="F179" s="5"/>
      <c r="G179" s="5"/>
      <c r="H179" s="5"/>
      <c r="I179" s="85"/>
      <c r="J179" s="5"/>
      <c r="K179" s="5"/>
    </row>
    <row r="180" spans="2:11" ht="60" x14ac:dyDescent="0.25">
      <c r="B180" s="1046"/>
      <c r="C180" s="92"/>
      <c r="D180" s="45" t="s">
        <v>898</v>
      </c>
      <c r="E180" s="5"/>
      <c r="F180" s="5"/>
      <c r="G180" s="5"/>
      <c r="H180" s="5"/>
      <c r="I180" s="85"/>
      <c r="J180" s="5"/>
      <c r="K180" s="5"/>
    </row>
    <row r="181" spans="2:11" ht="60.75" thickBot="1" x14ac:dyDescent="0.3">
      <c r="B181" s="1047"/>
      <c r="C181" s="2"/>
      <c r="D181" s="40" t="s">
        <v>904</v>
      </c>
      <c r="E181" s="5"/>
      <c r="F181" s="5"/>
      <c r="G181" s="5"/>
      <c r="H181" s="5"/>
      <c r="I181" s="85"/>
      <c r="J181" s="5"/>
      <c r="K181" s="5"/>
    </row>
    <row r="182" spans="2:11" x14ac:dyDescent="0.25">
      <c r="B182" s="5"/>
      <c r="D182" s="5"/>
      <c r="E182" s="5"/>
      <c r="F182" s="5"/>
      <c r="G182" s="5"/>
      <c r="H182" s="5"/>
      <c r="I182" s="85"/>
      <c r="J182" s="5"/>
      <c r="K182" s="5"/>
    </row>
    <row r="183" spans="2:11" x14ac:dyDescent="0.25">
      <c r="B183" s="5"/>
      <c r="D183" s="5"/>
      <c r="E183" s="5"/>
      <c r="F183" s="5"/>
      <c r="G183" s="5"/>
      <c r="H183" s="5"/>
      <c r="I183" s="85"/>
      <c r="J183" s="5"/>
      <c r="K183" s="5"/>
    </row>
    <row r="184" spans="2:11" x14ac:dyDescent="0.25">
      <c r="B184" s="5"/>
      <c r="D184" s="5"/>
      <c r="E184" s="5"/>
      <c r="F184" s="5"/>
      <c r="G184" s="5"/>
      <c r="H184" s="5"/>
      <c r="I184" s="85"/>
      <c r="J184" s="5"/>
      <c r="K184" s="5"/>
    </row>
    <row r="185" spans="2:11" x14ac:dyDescent="0.25">
      <c r="B185" s="5"/>
      <c r="D185" s="5"/>
      <c r="E185" s="5"/>
      <c r="F185" s="5"/>
      <c r="G185" s="5"/>
      <c r="H185" s="5"/>
      <c r="I185" s="85"/>
      <c r="J185" s="5"/>
      <c r="K185" s="5"/>
    </row>
    <row r="186" spans="2:11" x14ac:dyDescent="0.25">
      <c r="B186" s="5"/>
      <c r="D186" s="5"/>
      <c r="E186" s="5"/>
      <c r="F186" s="5"/>
      <c r="G186" s="5"/>
      <c r="H186" s="5"/>
      <c r="I186" s="85"/>
      <c r="J186" s="5"/>
      <c r="K186" s="5"/>
    </row>
    <row r="187" spans="2:11" x14ac:dyDescent="0.25">
      <c r="B187" s="5"/>
      <c r="D187" s="5"/>
      <c r="E187" s="5"/>
      <c r="F187" s="5"/>
      <c r="G187" s="5"/>
      <c r="H187" s="5"/>
      <c r="I187" s="85"/>
      <c r="J187" s="5"/>
      <c r="K187" s="5"/>
    </row>
    <row r="188" spans="2:11" x14ac:dyDescent="0.25">
      <c r="B188" s="5"/>
      <c r="D188" s="5"/>
      <c r="E188" s="5"/>
      <c r="F188" s="5"/>
      <c r="G188" s="5"/>
      <c r="H188" s="5"/>
      <c r="I188" s="85"/>
      <c r="J188" s="5"/>
      <c r="K188" s="5"/>
    </row>
    <row r="189" spans="2:11" x14ac:dyDescent="0.25">
      <c r="B189" s="5"/>
      <c r="D189" s="5"/>
      <c r="E189" s="5"/>
      <c r="F189" s="5"/>
      <c r="G189" s="5"/>
      <c r="H189" s="5"/>
      <c r="I189" s="85"/>
      <c r="J189" s="5"/>
      <c r="K189" s="5"/>
    </row>
    <row r="190" spans="2:11" x14ac:dyDescent="0.25">
      <c r="B190" s="5"/>
      <c r="D190" s="5"/>
      <c r="E190" s="5"/>
      <c r="F190" s="5"/>
      <c r="G190" s="5"/>
      <c r="H190" s="5"/>
      <c r="I190" s="85"/>
      <c r="J190" s="5"/>
      <c r="K190" s="5"/>
    </row>
    <row r="191" spans="2:11" x14ac:dyDescent="0.25">
      <c r="B191" s="5"/>
      <c r="D191" s="5"/>
      <c r="E191" s="5"/>
      <c r="F191" s="5"/>
      <c r="G191" s="5"/>
      <c r="H191" s="5"/>
      <c r="I191" s="85"/>
      <c r="J191" s="5"/>
      <c r="K191" s="5"/>
    </row>
    <row r="192" spans="2:11" x14ac:dyDescent="0.25">
      <c r="B192" s="5"/>
      <c r="D192" s="5"/>
      <c r="E192" s="5"/>
      <c r="F192" s="5"/>
      <c r="G192" s="5"/>
      <c r="H192" s="5"/>
      <c r="I192" s="85"/>
      <c r="J192" s="5"/>
      <c r="K192" s="5"/>
    </row>
    <row r="193" spans="2:11" x14ac:dyDescent="0.25">
      <c r="B193" s="5"/>
      <c r="D193" s="5"/>
      <c r="E193" s="5"/>
      <c r="F193" s="5"/>
      <c r="G193" s="5"/>
      <c r="H193" s="5"/>
      <c r="I193" s="85"/>
      <c r="J193" s="5"/>
      <c r="K193" s="5"/>
    </row>
    <row r="194" spans="2:11" x14ac:dyDescent="0.25">
      <c r="B194" s="5"/>
      <c r="D194" s="5"/>
      <c r="E194" s="5"/>
      <c r="F194" s="5"/>
      <c r="G194" s="5"/>
      <c r="H194" s="5"/>
      <c r="I194" s="85"/>
      <c r="J194" s="5"/>
      <c r="K194" s="5"/>
    </row>
    <row r="195" spans="2:11" x14ac:dyDescent="0.25">
      <c r="B195" s="5"/>
      <c r="D195" s="5"/>
      <c r="E195" s="5"/>
      <c r="F195" s="5"/>
      <c r="G195" s="5"/>
      <c r="H195" s="5"/>
      <c r="I195" s="85"/>
      <c r="J195" s="5"/>
      <c r="K195" s="5"/>
    </row>
    <row r="196" spans="2:11" x14ac:dyDescent="0.25">
      <c r="B196" s="5"/>
      <c r="D196" s="5"/>
      <c r="E196" s="5"/>
      <c r="F196" s="5"/>
      <c r="G196" s="5"/>
      <c r="H196" s="5"/>
      <c r="I196" s="85"/>
      <c r="J196" s="5"/>
      <c r="K196" s="5"/>
    </row>
    <row r="197" spans="2:11" x14ac:dyDescent="0.25">
      <c r="B197" s="5"/>
      <c r="D197" s="5"/>
      <c r="E197" s="5"/>
      <c r="F197" s="5"/>
      <c r="G197" s="5"/>
      <c r="H197" s="5"/>
      <c r="I197" s="85"/>
      <c r="J197" s="5"/>
      <c r="K197" s="5"/>
    </row>
  </sheetData>
  <mergeCells count="59">
    <mergeCell ref="A1:P1"/>
    <mergeCell ref="A2:P2"/>
    <mergeCell ref="A3:P3"/>
    <mergeCell ref="A4:D4"/>
    <mergeCell ref="A5:P5"/>
    <mergeCell ref="B10:D10"/>
    <mergeCell ref="F10:S10"/>
    <mergeCell ref="F11:S11"/>
    <mergeCell ref="E12:R12"/>
    <mergeCell ref="E13:R13"/>
    <mergeCell ref="B150:E150"/>
    <mergeCell ref="B155:B161"/>
    <mergeCell ref="B163:B166"/>
    <mergeCell ref="B167:B181"/>
    <mergeCell ref="D27:D28"/>
    <mergeCell ref="E27:E28"/>
    <mergeCell ref="D56:I56"/>
    <mergeCell ref="D57:I57"/>
    <mergeCell ref="D58:I58"/>
    <mergeCell ref="D63:I63"/>
    <mergeCell ref="D64:I64"/>
    <mergeCell ref="D65:I65"/>
    <mergeCell ref="D70:I70"/>
    <mergeCell ref="D103:I103"/>
    <mergeCell ref="D72:I72"/>
    <mergeCell ref="D78:I78"/>
    <mergeCell ref="G27:G28"/>
    <mergeCell ref="B15:B114"/>
    <mergeCell ref="D15:I15"/>
    <mergeCell ref="D16:I16"/>
    <mergeCell ref="D17:I17"/>
    <mergeCell ref="D20:I20"/>
    <mergeCell ref="D25:I25"/>
    <mergeCell ref="D26:I26"/>
    <mergeCell ref="D42:I42"/>
    <mergeCell ref="D43:I43"/>
    <mergeCell ref="F27:F28"/>
    <mergeCell ref="D71:I71"/>
    <mergeCell ref="D44:I44"/>
    <mergeCell ref="D49:I49"/>
    <mergeCell ref="D50:I50"/>
    <mergeCell ref="D51:I51"/>
    <mergeCell ref="D84:I84"/>
    <mergeCell ref="D85:I85"/>
    <mergeCell ref="D89:I89"/>
    <mergeCell ref="D90:I90"/>
    <mergeCell ref="D79:I79"/>
    <mergeCell ref="D95:I95"/>
    <mergeCell ref="D96:I96"/>
    <mergeCell ref="D97:I97"/>
    <mergeCell ref="D102:I102"/>
    <mergeCell ref="B136:E136"/>
    <mergeCell ref="B137:B143"/>
    <mergeCell ref="D104:I104"/>
    <mergeCell ref="D108:I108"/>
    <mergeCell ref="D109:I109"/>
    <mergeCell ref="D110:I110"/>
    <mergeCell ref="B127:E127"/>
    <mergeCell ref="B128:B134"/>
  </mergeCells>
  <conditionalFormatting sqref="F122">
    <cfRule type="containsText" dxfId="38" priority="7" operator="containsText" text="ERROR">
      <formula>NOT(ISERROR(SEARCH("ERROR",F122)))</formula>
    </cfRule>
  </conditionalFormatting>
  <conditionalFormatting sqref="F10">
    <cfRule type="notContainsBlanks" dxfId="37" priority="6">
      <formula>LEN(TRIM(F10))&gt;0</formula>
    </cfRule>
  </conditionalFormatting>
  <conditionalFormatting sqref="F11:S11">
    <cfRule type="expression" dxfId="36" priority="4">
      <formula>E11="NO SE REPORTA"</formula>
    </cfRule>
    <cfRule type="expression" dxfId="35" priority="5">
      <formula>E10="NO APLICA"</formula>
    </cfRule>
  </conditionalFormatting>
  <conditionalFormatting sqref="E12:R12">
    <cfRule type="expression" dxfId="34"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06:E107 E18:E19 E99:H100 E46:E48 E22:H23 E53:H54 E60:H61 E74:H75 E81:H82 E87:E88 E112:H113 E92:H93 E29:H40 E67:E69">
      <formula1>0</formula1>
    </dataValidation>
    <dataValidation allowBlank="1" showInputMessage="1" showErrorMessage="1" sqref="E62:H62 E76:I76 I74:I75 I81:I83 E83:H83 E24:H24 E41:H41 I53:I55 E55:H55 I60:I62"/>
    <dataValidation type="decimal" allowBlank="1" showInputMessage="1" showErrorMessage="1" errorTitle="ERROR" error="Escriba un valor entre 0% y 100%" sqref="F117:F121">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132" r:id="rId1"/>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zoomScale="98" zoomScaleNormal="98" workbookViewId="0">
      <selection activeCell="O19" sqref="O19"/>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951</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INFORMACION",+G21))</f>
        <v>0.18787878787878787</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1933</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x14ac:dyDescent="0.25">
      <c r="B15" s="1045" t="s">
        <v>2</v>
      </c>
      <c r="C15" s="87"/>
      <c r="D15" s="1036"/>
      <c r="E15" s="1037"/>
      <c r="F15" s="1037"/>
      <c r="G15" s="1037"/>
      <c r="H15" s="1037"/>
      <c r="I15" s="1038"/>
      <c r="J15" s="5"/>
      <c r="K15" s="5"/>
    </row>
    <row r="16" spans="1:21" ht="15.75" thickBot="1" x14ac:dyDescent="0.3">
      <c r="B16" s="1046"/>
      <c r="C16" s="90"/>
      <c r="D16" s="1051" t="s">
        <v>3</v>
      </c>
      <c r="E16" s="1052"/>
      <c r="F16" s="1052"/>
      <c r="G16" s="1052"/>
      <c r="H16" s="1052"/>
      <c r="I16" s="1053"/>
      <c r="J16" s="5"/>
      <c r="K16" s="5"/>
    </row>
    <row r="17" spans="2:11" ht="15.75" thickBot="1" x14ac:dyDescent="0.3">
      <c r="B17" s="1046"/>
      <c r="C17" s="92"/>
      <c r="D17" s="42" t="s">
        <v>150</v>
      </c>
      <c r="E17" s="38" t="s">
        <v>20</v>
      </c>
      <c r="F17" s="38" t="s">
        <v>21</v>
      </c>
      <c r="G17" s="38" t="s">
        <v>22</v>
      </c>
      <c r="H17" s="38" t="s">
        <v>23</v>
      </c>
      <c r="I17" s="38" t="s">
        <v>151</v>
      </c>
      <c r="J17" s="5"/>
      <c r="K17" s="5"/>
    </row>
    <row r="18" spans="2:11" ht="36.75" thickBot="1" x14ac:dyDescent="0.3">
      <c r="B18" s="1046"/>
      <c r="C18" s="92"/>
      <c r="D18" s="40" t="s">
        <v>966</v>
      </c>
      <c r="E18" s="144"/>
      <c r="F18" s="144"/>
      <c r="G18" s="144">
        <v>165</v>
      </c>
      <c r="H18" s="144"/>
      <c r="I18" s="311">
        <f>SUM(E18:H18)</f>
        <v>165</v>
      </c>
      <c r="J18" s="5"/>
      <c r="K18" s="5"/>
    </row>
    <row r="19" spans="2:11" ht="36.75" thickBot="1" x14ac:dyDescent="0.3">
      <c r="B19" s="1046"/>
      <c r="C19" s="92"/>
      <c r="D19" s="40" t="s">
        <v>967</v>
      </c>
      <c r="E19" s="144"/>
      <c r="F19" s="144"/>
      <c r="G19" s="144">
        <v>7</v>
      </c>
      <c r="H19" s="144"/>
      <c r="I19" s="311">
        <f>SUM(E19:H19)</f>
        <v>7</v>
      </c>
      <c r="J19" s="5"/>
      <c r="K19" s="5"/>
    </row>
    <row r="20" spans="2:11" ht="36.75" thickBot="1" x14ac:dyDescent="0.3">
      <c r="B20" s="1046"/>
      <c r="C20" s="92"/>
      <c r="D20" s="40" t="s">
        <v>968</v>
      </c>
      <c r="E20" s="144"/>
      <c r="F20" s="144"/>
      <c r="G20" s="144">
        <v>24</v>
      </c>
      <c r="H20" s="144"/>
      <c r="I20" s="311">
        <f>SUM(E20:H20)</f>
        <v>24</v>
      </c>
      <c r="J20" s="5"/>
      <c r="K20" s="5"/>
    </row>
    <row r="21" spans="2:11" ht="24.75" thickBot="1" x14ac:dyDescent="0.3">
      <c r="B21" s="1047"/>
      <c r="C21" s="2"/>
      <c r="D21" s="40" t="s">
        <v>969</v>
      </c>
      <c r="E21" s="316" t="e">
        <f>+(E19+E20)/E18</f>
        <v>#DIV/0!</v>
      </c>
      <c r="F21" s="316" t="e">
        <f>+(F19+F20)/F18</f>
        <v>#DIV/0!</v>
      </c>
      <c r="G21" s="316">
        <f>+(G19+G20)/G18</f>
        <v>0.18787878787878787</v>
      </c>
      <c r="H21" s="316" t="e">
        <f>+(H19+H20)/H18</f>
        <v>#DIV/0!</v>
      </c>
      <c r="I21" s="316">
        <f>+(I19+I20)/I18</f>
        <v>0.18787878787878787</v>
      </c>
      <c r="J21" s="5"/>
      <c r="K21" s="5"/>
    </row>
    <row r="22" spans="2:11" ht="36" customHeight="1" thickBot="1" x14ac:dyDescent="0.3">
      <c r="B22" s="46" t="s">
        <v>34</v>
      </c>
      <c r="C22" s="91"/>
      <c r="D22" s="1048" t="s">
        <v>970</v>
      </c>
      <c r="E22" s="1049"/>
      <c r="F22" s="1049"/>
      <c r="G22" s="1049"/>
      <c r="H22" s="1049"/>
      <c r="I22" s="1050"/>
      <c r="J22" s="5"/>
      <c r="K22" s="5"/>
    </row>
    <row r="23" spans="2:11" ht="36" customHeight="1" thickBot="1" x14ac:dyDescent="0.3">
      <c r="B23" s="46" t="s">
        <v>36</v>
      </c>
      <c r="C23" s="91"/>
      <c r="D23" s="1048" t="s">
        <v>159</v>
      </c>
      <c r="E23" s="1049"/>
      <c r="F23" s="1049"/>
      <c r="G23" s="1049"/>
      <c r="H23" s="1049"/>
      <c r="I23" s="1050"/>
      <c r="J23" s="5"/>
      <c r="K23" s="5"/>
    </row>
    <row r="24" spans="2:11" ht="15.75" thickBot="1" x14ac:dyDescent="0.3">
      <c r="B24" s="1"/>
      <c r="C24" s="74"/>
      <c r="D24" s="5"/>
      <c r="E24" s="5"/>
      <c r="F24" s="5"/>
      <c r="G24" s="5"/>
      <c r="H24" s="5"/>
      <c r="I24" s="5"/>
      <c r="J24" s="5"/>
      <c r="K24" s="5"/>
    </row>
    <row r="25" spans="2:11" ht="24" customHeight="1" thickBot="1" x14ac:dyDescent="0.3">
      <c r="B25" s="1054" t="s">
        <v>38</v>
      </c>
      <c r="C25" s="1055"/>
      <c r="D25" s="1055"/>
      <c r="E25" s="1056"/>
      <c r="F25" s="5"/>
      <c r="G25" s="5"/>
      <c r="H25" s="5"/>
      <c r="I25" s="5"/>
      <c r="J25" s="5"/>
      <c r="K25" s="5"/>
    </row>
    <row r="26" spans="2:11" ht="15.75" thickBot="1" x14ac:dyDescent="0.3">
      <c r="B26" s="1045">
        <v>1</v>
      </c>
      <c r="C26" s="92"/>
      <c r="D26" s="47" t="s">
        <v>39</v>
      </c>
      <c r="E26" s="30" t="s">
        <v>1771</v>
      </c>
      <c r="F26" s="5"/>
      <c r="G26" s="5"/>
      <c r="H26" s="5"/>
      <c r="I26" s="5"/>
      <c r="J26" s="5"/>
      <c r="K26" s="5"/>
    </row>
    <row r="27" spans="2:11" ht="15.75" thickBot="1" x14ac:dyDescent="0.3">
      <c r="B27" s="1046"/>
      <c r="C27" s="92"/>
      <c r="D27" s="40" t="s">
        <v>40</v>
      </c>
      <c r="E27" s="30" t="s">
        <v>1776</v>
      </c>
      <c r="F27" s="5"/>
      <c r="G27" s="5"/>
      <c r="H27" s="5"/>
      <c r="I27" s="5"/>
      <c r="J27" s="5"/>
      <c r="K27" s="5"/>
    </row>
    <row r="28" spans="2:11" ht="15.75" thickBot="1" x14ac:dyDescent="0.3">
      <c r="B28" s="1046"/>
      <c r="C28" s="92"/>
      <c r="D28" s="40" t="s">
        <v>41</v>
      </c>
      <c r="E28" s="30" t="s">
        <v>1777</v>
      </c>
      <c r="F28" s="5"/>
      <c r="G28" s="5"/>
      <c r="H28" s="5"/>
      <c r="I28" s="5"/>
      <c r="J28" s="5"/>
      <c r="K28" s="5"/>
    </row>
    <row r="29" spans="2:11" ht="15.75" thickBot="1" x14ac:dyDescent="0.3">
      <c r="B29" s="1046"/>
      <c r="C29" s="92"/>
      <c r="D29" s="40" t="s">
        <v>42</v>
      </c>
      <c r="E29" s="30" t="s">
        <v>1778</v>
      </c>
      <c r="F29" s="5"/>
      <c r="G29" s="5"/>
      <c r="H29" s="5"/>
      <c r="I29" s="5"/>
      <c r="J29" s="5"/>
      <c r="K29" s="5"/>
    </row>
    <row r="30" spans="2:11" ht="15.75" thickBot="1" x14ac:dyDescent="0.3">
      <c r="B30" s="1046"/>
      <c r="C30" s="92"/>
      <c r="D30" s="40" t="s">
        <v>43</v>
      </c>
      <c r="E30" s="515" t="s">
        <v>1779</v>
      </c>
      <c r="F30" s="5"/>
      <c r="G30" s="5"/>
      <c r="H30" s="5"/>
      <c r="I30" s="5"/>
      <c r="J30" s="5"/>
      <c r="K30" s="5"/>
    </row>
    <row r="31" spans="2:11" ht="15.75" thickBot="1" x14ac:dyDescent="0.3">
      <c r="B31" s="1046"/>
      <c r="C31" s="92"/>
      <c r="D31" s="40" t="s">
        <v>44</v>
      </c>
      <c r="E31" s="30">
        <v>4380200</v>
      </c>
      <c r="F31" s="5"/>
      <c r="G31" s="5"/>
      <c r="H31" s="5"/>
      <c r="I31" s="5"/>
      <c r="J31" s="5"/>
      <c r="K31" s="5"/>
    </row>
    <row r="32" spans="2:11" ht="15.75" thickBot="1" x14ac:dyDescent="0.3">
      <c r="B32" s="1047"/>
      <c r="C32" s="2"/>
      <c r="D32" s="40" t="s">
        <v>45</v>
      </c>
      <c r="E32" s="30" t="s">
        <v>1773</v>
      </c>
      <c r="F32" s="5"/>
      <c r="G32" s="5"/>
      <c r="H32" s="5"/>
      <c r="I32" s="5"/>
      <c r="J32" s="5"/>
      <c r="K32" s="5"/>
    </row>
    <row r="33" spans="2:11" ht="15.75" thickBot="1" x14ac:dyDescent="0.3">
      <c r="B33" s="1"/>
      <c r="C33" s="74"/>
      <c r="D33" s="5"/>
      <c r="E33" s="5"/>
      <c r="F33" s="5"/>
      <c r="G33" s="5"/>
      <c r="H33" s="5"/>
      <c r="I33" s="5"/>
      <c r="J33" s="5"/>
      <c r="K33" s="5"/>
    </row>
    <row r="34" spans="2:11" ht="15.75" thickBot="1" x14ac:dyDescent="0.3">
      <c r="B34" s="1054" t="s">
        <v>46</v>
      </c>
      <c r="C34" s="1055"/>
      <c r="D34" s="1055"/>
      <c r="E34" s="1056"/>
      <c r="F34" s="5"/>
      <c r="G34" s="5"/>
      <c r="H34" s="5"/>
      <c r="I34" s="5"/>
      <c r="J34" s="5"/>
      <c r="K34" s="5"/>
    </row>
    <row r="35" spans="2:11" ht="15.75" thickBot="1" x14ac:dyDescent="0.3">
      <c r="B35" s="1045">
        <v>1</v>
      </c>
      <c r="C35" s="92"/>
      <c r="D35" s="47" t="s">
        <v>39</v>
      </c>
      <c r="E35" s="217" t="s">
        <v>47</v>
      </c>
      <c r="F35" s="5"/>
      <c r="G35" s="5"/>
      <c r="H35" s="5"/>
      <c r="I35" s="5"/>
      <c r="J35" s="5"/>
      <c r="K35" s="5"/>
    </row>
    <row r="36" spans="2:11" ht="15.75" thickBot="1" x14ac:dyDescent="0.3">
      <c r="B36" s="1046"/>
      <c r="C36" s="92"/>
      <c r="D36" s="40" t="s">
        <v>40</v>
      </c>
      <c r="E36" s="315" t="s">
        <v>48</v>
      </c>
      <c r="F36" s="5"/>
      <c r="G36" s="5"/>
      <c r="H36" s="5"/>
      <c r="I36" s="5"/>
      <c r="J36" s="5"/>
      <c r="K36" s="5"/>
    </row>
    <row r="37" spans="2:11" ht="15.75" thickBot="1" x14ac:dyDescent="0.3">
      <c r="B37" s="1046"/>
      <c r="C37" s="92"/>
      <c r="D37" s="40" t="s">
        <v>41</v>
      </c>
      <c r="E37" s="163"/>
      <c r="F37" s="5"/>
      <c r="G37" s="5"/>
      <c r="H37" s="5"/>
      <c r="I37" s="5"/>
      <c r="J37" s="5"/>
      <c r="K37" s="5"/>
    </row>
    <row r="38" spans="2:11" ht="15.75" thickBot="1" x14ac:dyDescent="0.3">
      <c r="B38" s="1046"/>
      <c r="C38" s="92"/>
      <c r="D38" s="40" t="s">
        <v>42</v>
      </c>
      <c r="E38" s="163"/>
      <c r="F38" s="5"/>
      <c r="G38" s="5"/>
      <c r="H38" s="5"/>
      <c r="I38" s="5"/>
      <c r="J38" s="5"/>
      <c r="K38" s="5"/>
    </row>
    <row r="39" spans="2:11" ht="15.75" thickBot="1" x14ac:dyDescent="0.3">
      <c r="B39" s="1046"/>
      <c r="C39" s="92"/>
      <c r="D39" s="40" t="s">
        <v>43</v>
      </c>
      <c r="E39" s="163"/>
      <c r="F39" s="5"/>
      <c r="G39" s="5"/>
      <c r="H39" s="5"/>
      <c r="I39" s="5"/>
      <c r="J39" s="5"/>
      <c r="K39" s="5"/>
    </row>
    <row r="40" spans="2:11" ht="15.75" thickBot="1" x14ac:dyDescent="0.3">
      <c r="B40" s="1046"/>
      <c r="C40" s="92"/>
      <c r="D40" s="40" t="s">
        <v>44</v>
      </c>
      <c r="E40" s="163"/>
      <c r="F40" s="5"/>
      <c r="G40" s="5"/>
      <c r="H40" s="5"/>
      <c r="I40" s="5"/>
      <c r="J40" s="5"/>
      <c r="K40" s="5"/>
    </row>
    <row r="41" spans="2:11" ht="15.75" thickBot="1" x14ac:dyDescent="0.3">
      <c r="B41" s="1047"/>
      <c r="C41" s="2"/>
      <c r="D41" s="40" t="s">
        <v>45</v>
      </c>
      <c r="E41" s="163"/>
      <c r="F41" s="5"/>
      <c r="G41" s="5"/>
      <c r="H41" s="5"/>
      <c r="I41" s="5"/>
      <c r="J41" s="5"/>
      <c r="K41" s="5"/>
    </row>
    <row r="42" spans="2:11" ht="15.75" thickBot="1" x14ac:dyDescent="0.3">
      <c r="B42" s="1"/>
      <c r="C42" s="74"/>
      <c r="D42" s="5"/>
      <c r="E42" s="5"/>
      <c r="F42" s="5"/>
      <c r="G42" s="5"/>
      <c r="H42" s="5"/>
      <c r="I42" s="5"/>
      <c r="J42" s="5"/>
      <c r="K42" s="5"/>
    </row>
    <row r="43" spans="2:11" ht="15" customHeight="1" thickBot="1" x14ac:dyDescent="0.3">
      <c r="B43" s="120" t="s">
        <v>49</v>
      </c>
      <c r="C43" s="121"/>
      <c r="D43" s="121"/>
      <c r="E43" s="122"/>
      <c r="G43" s="5"/>
      <c r="H43" s="5"/>
      <c r="I43" s="5"/>
      <c r="J43" s="5"/>
      <c r="K43" s="5"/>
    </row>
    <row r="44" spans="2:11" ht="24.75" thickBot="1" x14ac:dyDescent="0.3">
      <c r="B44" s="46" t="s">
        <v>50</v>
      </c>
      <c r="C44" s="40" t="s">
        <v>51</v>
      </c>
      <c r="D44" s="40" t="s">
        <v>52</v>
      </c>
      <c r="E44" s="40" t="s">
        <v>53</v>
      </c>
      <c r="F44" s="5"/>
      <c r="G44" s="5"/>
      <c r="H44" s="5"/>
      <c r="I44" s="5"/>
      <c r="J44" s="5"/>
    </row>
    <row r="45" spans="2:11" ht="60.75" thickBot="1" x14ac:dyDescent="0.3">
      <c r="B45" s="48">
        <v>42401</v>
      </c>
      <c r="C45" s="40">
        <v>0.01</v>
      </c>
      <c r="D45" s="49" t="s">
        <v>971</v>
      </c>
      <c r="E45" s="40"/>
      <c r="F45" s="5"/>
      <c r="G45" s="5"/>
      <c r="H45" s="5"/>
      <c r="I45" s="5"/>
      <c r="J45" s="5"/>
    </row>
    <row r="46" spans="2:11" ht="15.75" thickBot="1" x14ac:dyDescent="0.3">
      <c r="B46" s="1"/>
      <c r="C46" s="74"/>
      <c r="D46" s="5"/>
      <c r="E46" s="5"/>
      <c r="F46" s="5"/>
      <c r="G46" s="5"/>
      <c r="H46" s="5"/>
      <c r="I46" s="5"/>
      <c r="J46" s="5"/>
      <c r="K46" s="5"/>
    </row>
    <row r="47" spans="2:11" x14ac:dyDescent="0.25">
      <c r="B47" s="127" t="s">
        <v>55</v>
      </c>
      <c r="C47" s="94"/>
      <c r="D47" s="5"/>
      <c r="E47" s="5"/>
      <c r="F47" s="5"/>
      <c r="G47" s="5"/>
      <c r="H47" s="5"/>
      <c r="I47" s="5"/>
      <c r="J47" s="5"/>
      <c r="K47" s="5"/>
    </row>
    <row r="48" spans="2:11" x14ac:dyDescent="0.25">
      <c r="B48" s="1211"/>
      <c r="C48" s="1212"/>
      <c r="D48" s="1212"/>
      <c r="E48" s="1213"/>
      <c r="F48" s="5"/>
      <c r="G48" s="5"/>
      <c r="H48" s="5"/>
      <c r="I48" s="5"/>
      <c r="J48" s="5"/>
      <c r="K48" s="5"/>
    </row>
    <row r="49" spans="2:11" x14ac:dyDescent="0.25">
      <c r="B49" s="1214"/>
      <c r="C49" s="1215"/>
      <c r="D49" s="1215"/>
      <c r="E49" s="1216"/>
      <c r="F49" s="5"/>
      <c r="G49" s="5"/>
      <c r="H49" s="5"/>
      <c r="I49" s="5"/>
      <c r="J49" s="5"/>
      <c r="K49" s="5"/>
    </row>
    <row r="50" spans="2:11" ht="15.75" thickBot="1" x14ac:dyDescent="0.3">
      <c r="B50" s="5"/>
      <c r="D50" s="5"/>
      <c r="E50" s="5"/>
      <c r="F50" s="5"/>
      <c r="G50" s="5"/>
      <c r="H50" s="5"/>
      <c r="I50" s="5"/>
      <c r="J50" s="5"/>
      <c r="K50" s="5"/>
    </row>
    <row r="51" spans="2:11" ht="24.75" thickBot="1" x14ac:dyDescent="0.3">
      <c r="B51" s="50" t="s">
        <v>56</v>
      </c>
      <c r="C51" s="95"/>
      <c r="D51" s="5"/>
      <c r="E51" s="5"/>
      <c r="F51" s="5"/>
      <c r="G51" s="5"/>
      <c r="H51" s="5"/>
      <c r="I51" s="5"/>
      <c r="J51" s="5"/>
      <c r="K51" s="5"/>
    </row>
    <row r="52" spans="2:11" ht="15.75" thickBot="1" x14ac:dyDescent="0.3">
      <c r="B52" s="1"/>
      <c r="C52" s="74"/>
      <c r="D52" s="5"/>
      <c r="E52" s="5"/>
      <c r="F52" s="5"/>
      <c r="G52" s="5"/>
      <c r="H52" s="5"/>
      <c r="I52" s="5"/>
      <c r="J52" s="5"/>
      <c r="K52" s="5"/>
    </row>
    <row r="53" spans="2:11" ht="84.75" thickBot="1" x14ac:dyDescent="0.3">
      <c r="B53" s="51" t="s">
        <v>57</v>
      </c>
      <c r="C53" s="96"/>
      <c r="D53" s="42" t="s">
        <v>952</v>
      </c>
      <c r="E53" s="5"/>
      <c r="F53" s="5"/>
      <c r="G53" s="5"/>
      <c r="H53" s="5"/>
      <c r="I53" s="5"/>
      <c r="J53" s="5"/>
      <c r="K53" s="5"/>
    </row>
    <row r="54" spans="2:11" x14ac:dyDescent="0.25">
      <c r="B54" s="1045" t="s">
        <v>59</v>
      </c>
      <c r="C54" s="92"/>
      <c r="D54" s="52" t="s">
        <v>60</v>
      </c>
      <c r="E54" s="5"/>
      <c r="F54" s="5"/>
      <c r="G54" s="5"/>
      <c r="H54" s="5"/>
      <c r="I54" s="5"/>
      <c r="J54" s="5"/>
      <c r="K54" s="5"/>
    </row>
    <row r="55" spans="2:11" ht="72" x14ac:dyDescent="0.25">
      <c r="B55" s="1046"/>
      <c r="C55" s="92"/>
      <c r="D55" s="52" t="s">
        <v>953</v>
      </c>
      <c r="E55" s="5"/>
      <c r="F55" s="5"/>
      <c r="G55" s="5"/>
      <c r="H55" s="5"/>
      <c r="I55" s="5"/>
      <c r="J55" s="5"/>
      <c r="K55" s="5"/>
    </row>
    <row r="56" spans="2:11" x14ac:dyDescent="0.25">
      <c r="B56" s="1046"/>
      <c r="C56" s="92"/>
      <c r="D56" s="52" t="s">
        <v>134</v>
      </c>
      <c r="E56" s="5"/>
      <c r="F56" s="5"/>
      <c r="G56" s="5"/>
      <c r="H56" s="5"/>
      <c r="I56" s="5"/>
      <c r="J56" s="5"/>
      <c r="K56" s="5"/>
    </row>
    <row r="57" spans="2:11" ht="24" x14ac:dyDescent="0.25">
      <c r="B57" s="1046"/>
      <c r="C57" s="92"/>
      <c r="D57" s="45" t="s">
        <v>954</v>
      </c>
      <c r="E57" s="5"/>
      <c r="F57" s="5"/>
      <c r="G57" s="5"/>
      <c r="H57" s="5"/>
      <c r="I57" s="5"/>
      <c r="J57" s="5"/>
      <c r="K57" s="5"/>
    </row>
    <row r="58" spans="2:11" ht="24" x14ac:dyDescent="0.25">
      <c r="B58" s="1046"/>
      <c r="C58" s="92"/>
      <c r="D58" s="45" t="s">
        <v>955</v>
      </c>
      <c r="E58" s="5"/>
      <c r="F58" s="5"/>
      <c r="G58" s="5"/>
      <c r="H58" s="5"/>
      <c r="I58" s="5"/>
      <c r="J58" s="5"/>
      <c r="K58" s="5"/>
    </row>
    <row r="59" spans="2:11" ht="15.75" thickBot="1" x14ac:dyDescent="0.3">
      <c r="B59" s="1047"/>
      <c r="C59" s="2"/>
      <c r="D59" s="40" t="s">
        <v>65</v>
      </c>
      <c r="E59" s="5"/>
      <c r="F59" s="5"/>
      <c r="G59" s="5"/>
      <c r="H59" s="5"/>
      <c r="I59" s="5"/>
      <c r="J59" s="5"/>
      <c r="K59" s="5"/>
    </row>
    <row r="60" spans="2:11" ht="24.75" thickBot="1" x14ac:dyDescent="0.3">
      <c r="B60" s="46" t="s">
        <v>72</v>
      </c>
      <c r="C60" s="2"/>
      <c r="D60" s="40"/>
      <c r="E60" s="5"/>
      <c r="F60" s="5"/>
      <c r="G60" s="5"/>
      <c r="H60" s="5"/>
      <c r="I60" s="5"/>
      <c r="J60" s="5"/>
      <c r="K60" s="5"/>
    </row>
    <row r="61" spans="2:11" ht="132" x14ac:dyDescent="0.25">
      <c r="B61" s="1045" t="s">
        <v>73</v>
      </c>
      <c r="C61" s="92"/>
      <c r="D61" s="45" t="s">
        <v>956</v>
      </c>
      <c r="E61" s="5"/>
      <c r="F61" s="5"/>
      <c r="G61" s="5"/>
      <c r="H61" s="5"/>
      <c r="I61" s="5"/>
      <c r="J61" s="5"/>
      <c r="K61" s="5"/>
    </row>
    <row r="62" spans="2:11" ht="324" x14ac:dyDescent="0.25">
      <c r="B62" s="1046"/>
      <c r="C62" s="92"/>
      <c r="D62" s="45" t="s">
        <v>957</v>
      </c>
      <c r="E62" s="5"/>
      <c r="F62" s="5"/>
      <c r="G62" s="5"/>
      <c r="H62" s="5"/>
      <c r="I62" s="5"/>
      <c r="J62" s="5"/>
      <c r="K62" s="5"/>
    </row>
    <row r="63" spans="2:11" ht="84" x14ac:dyDescent="0.25">
      <c r="B63" s="1046"/>
      <c r="C63" s="92"/>
      <c r="D63" s="45" t="s">
        <v>958</v>
      </c>
      <c r="E63" s="5"/>
      <c r="F63" s="5"/>
      <c r="G63" s="5"/>
      <c r="H63" s="5"/>
      <c r="I63" s="5"/>
      <c r="J63" s="5"/>
      <c r="K63" s="5"/>
    </row>
    <row r="64" spans="2:11" ht="72" x14ac:dyDescent="0.25">
      <c r="B64" s="1046"/>
      <c r="C64" s="92"/>
      <c r="D64" s="45" t="s">
        <v>959</v>
      </c>
      <c r="E64" s="5"/>
      <c r="F64" s="5"/>
      <c r="G64" s="5"/>
      <c r="H64" s="5"/>
      <c r="I64" s="5"/>
      <c r="J64" s="5"/>
      <c r="K64" s="5"/>
    </row>
    <row r="65" spans="2:11" ht="60.75" thickBot="1" x14ac:dyDescent="0.3">
      <c r="B65" s="1047"/>
      <c r="C65" s="2"/>
      <c r="D65" s="40" t="s">
        <v>960</v>
      </c>
      <c r="E65" s="5"/>
      <c r="F65" s="5"/>
      <c r="G65" s="5"/>
      <c r="H65" s="5"/>
      <c r="I65" s="5"/>
      <c r="J65" s="5"/>
      <c r="K65" s="5"/>
    </row>
    <row r="66" spans="2:11" x14ac:dyDescent="0.25">
      <c r="B66" s="1045" t="s">
        <v>90</v>
      </c>
      <c r="C66" s="92"/>
      <c r="D66" s="45"/>
      <c r="E66" s="5"/>
      <c r="F66" s="5"/>
      <c r="G66" s="5"/>
      <c r="H66" s="5"/>
      <c r="I66" s="5"/>
      <c r="J66" s="5"/>
      <c r="K66" s="5"/>
    </row>
    <row r="67" spans="2:11" x14ac:dyDescent="0.25">
      <c r="B67" s="1046"/>
      <c r="C67" s="92"/>
      <c r="D67" s="16"/>
      <c r="E67" s="5"/>
      <c r="F67" s="5"/>
      <c r="G67" s="5"/>
      <c r="H67" s="5"/>
      <c r="I67" s="5"/>
      <c r="J67" s="5"/>
      <c r="K67" s="5"/>
    </row>
    <row r="68" spans="2:11" x14ac:dyDescent="0.25">
      <c r="B68" s="1046"/>
      <c r="C68" s="92"/>
      <c r="D68" s="45" t="s">
        <v>91</v>
      </c>
      <c r="E68" s="5"/>
      <c r="F68" s="5"/>
      <c r="G68" s="5"/>
      <c r="H68" s="5"/>
      <c r="I68" s="5"/>
      <c r="J68" s="5"/>
      <c r="K68" s="5"/>
    </row>
    <row r="69" spans="2:11" ht="25.5" x14ac:dyDescent="0.25">
      <c r="B69" s="1046"/>
      <c r="C69" s="92"/>
      <c r="D69" s="45" t="s">
        <v>961</v>
      </c>
      <c r="E69" s="5"/>
      <c r="F69" s="5"/>
      <c r="G69" s="5"/>
      <c r="H69" s="5"/>
      <c r="I69" s="5"/>
      <c r="J69" s="5"/>
      <c r="K69" s="5"/>
    </row>
    <row r="70" spans="2:11" ht="37.5" x14ac:dyDescent="0.25">
      <c r="B70" s="1046"/>
      <c r="C70" s="92"/>
      <c r="D70" s="45" t="s">
        <v>962</v>
      </c>
      <c r="E70" s="5"/>
      <c r="F70" s="5"/>
      <c r="G70" s="5"/>
      <c r="H70" s="5"/>
      <c r="I70" s="5"/>
      <c r="J70" s="5"/>
      <c r="K70" s="5"/>
    </row>
    <row r="71" spans="2:11" ht="37.5" x14ac:dyDescent="0.25">
      <c r="B71" s="1046"/>
      <c r="C71" s="92"/>
      <c r="D71" s="45" t="s">
        <v>963</v>
      </c>
      <c r="E71" s="5"/>
      <c r="F71" s="5"/>
      <c r="G71" s="5"/>
      <c r="H71" s="5"/>
      <c r="I71" s="5"/>
      <c r="J71" s="5"/>
      <c r="K71" s="5"/>
    </row>
    <row r="72" spans="2:11" ht="36" x14ac:dyDescent="0.25">
      <c r="B72" s="1046"/>
      <c r="C72" s="92"/>
      <c r="D72" s="45" t="s">
        <v>964</v>
      </c>
      <c r="E72" s="5"/>
      <c r="F72" s="5"/>
      <c r="G72" s="5"/>
      <c r="H72" s="5"/>
      <c r="I72" s="5"/>
      <c r="J72" s="5"/>
      <c r="K72" s="5"/>
    </row>
    <row r="73" spans="2:11" ht="120.75" thickBot="1" x14ac:dyDescent="0.3">
      <c r="B73" s="1047"/>
      <c r="C73" s="2"/>
      <c r="D73" s="40" t="s">
        <v>965</v>
      </c>
      <c r="E73" s="5"/>
      <c r="F73" s="5"/>
      <c r="G73" s="5"/>
      <c r="H73" s="5"/>
      <c r="I73" s="5"/>
      <c r="J73" s="5"/>
      <c r="K73" s="5"/>
    </row>
    <row r="74" spans="2:11" x14ac:dyDescent="0.25">
      <c r="B74" s="5"/>
      <c r="D74" s="5"/>
      <c r="E74" s="5"/>
      <c r="F74" s="5"/>
      <c r="G74" s="5"/>
      <c r="H74" s="5"/>
      <c r="I74" s="5"/>
      <c r="J74" s="5"/>
      <c r="K74" s="5"/>
    </row>
    <row r="75" spans="2:11" x14ac:dyDescent="0.25">
      <c r="B75" s="5"/>
      <c r="D75" s="5"/>
      <c r="E75" s="5"/>
      <c r="F75" s="5"/>
      <c r="G75" s="5"/>
      <c r="H75" s="5"/>
      <c r="I75" s="5"/>
      <c r="J75" s="5"/>
      <c r="K75" s="5"/>
    </row>
    <row r="76" spans="2:11" x14ac:dyDescent="0.25">
      <c r="B76" s="5"/>
      <c r="D76" s="5"/>
      <c r="E76" s="5"/>
      <c r="F76" s="5"/>
      <c r="G76" s="5"/>
      <c r="H76" s="5"/>
      <c r="I76" s="5"/>
      <c r="J76" s="5"/>
      <c r="K76" s="5"/>
    </row>
    <row r="77" spans="2:11" x14ac:dyDescent="0.25">
      <c r="B77" s="5"/>
      <c r="D77" s="5"/>
      <c r="E77" s="5"/>
      <c r="F77" s="5"/>
      <c r="G77" s="5"/>
      <c r="H77" s="5"/>
      <c r="I77" s="5"/>
      <c r="J77" s="5"/>
      <c r="K77" s="5"/>
    </row>
    <row r="78" spans="2:11" x14ac:dyDescent="0.25">
      <c r="B78" s="5"/>
      <c r="D78" s="5"/>
      <c r="E78" s="5"/>
      <c r="F78" s="5"/>
      <c r="G78" s="5"/>
      <c r="H78" s="5"/>
      <c r="I78" s="5"/>
      <c r="J78" s="5"/>
      <c r="K78" s="5"/>
    </row>
    <row r="79" spans="2:11" x14ac:dyDescent="0.25">
      <c r="B79" s="5"/>
      <c r="D79" s="5"/>
      <c r="E79" s="5"/>
      <c r="F79" s="5"/>
      <c r="G79" s="5"/>
      <c r="H79" s="5"/>
      <c r="I79" s="5"/>
      <c r="J79" s="5"/>
      <c r="K79" s="5"/>
    </row>
    <row r="80" spans="2:11" x14ac:dyDescent="0.25">
      <c r="B80" s="5"/>
      <c r="D80" s="5"/>
      <c r="E80" s="5"/>
      <c r="F80" s="5"/>
      <c r="G80" s="5"/>
      <c r="H80" s="5"/>
      <c r="I80" s="5"/>
      <c r="J80" s="5"/>
      <c r="K80" s="5"/>
    </row>
    <row r="81" spans="2:11" x14ac:dyDescent="0.25">
      <c r="B81" s="5"/>
      <c r="D81" s="5"/>
      <c r="E81" s="5"/>
      <c r="F81" s="5"/>
      <c r="G81" s="5"/>
      <c r="H81" s="5"/>
      <c r="I81" s="5"/>
      <c r="J81" s="5"/>
      <c r="K81" s="5"/>
    </row>
    <row r="82" spans="2:11" x14ac:dyDescent="0.25">
      <c r="B82" s="5"/>
      <c r="D82" s="5"/>
      <c r="E82" s="5"/>
      <c r="F82" s="5"/>
      <c r="G82" s="5"/>
      <c r="H82" s="5"/>
      <c r="I82" s="5"/>
      <c r="J82" s="5"/>
      <c r="K82" s="5"/>
    </row>
    <row r="83" spans="2:11" x14ac:dyDescent="0.25">
      <c r="B83" s="5"/>
      <c r="D83" s="5"/>
      <c r="E83" s="5"/>
      <c r="F83" s="5"/>
      <c r="G83" s="5"/>
      <c r="H83" s="5"/>
      <c r="I83" s="5"/>
      <c r="J83" s="5"/>
      <c r="K83" s="5"/>
    </row>
    <row r="84" spans="2:11" x14ac:dyDescent="0.25">
      <c r="B84" s="5"/>
      <c r="D84" s="5"/>
      <c r="E84" s="5"/>
      <c r="F84" s="5"/>
      <c r="G84" s="5"/>
      <c r="H84" s="5"/>
      <c r="I84" s="5"/>
      <c r="J84" s="5"/>
      <c r="K84" s="5"/>
    </row>
    <row r="85" spans="2:11" x14ac:dyDescent="0.25">
      <c r="B85" s="5"/>
      <c r="D85" s="5"/>
      <c r="E85" s="5"/>
      <c r="F85" s="5"/>
      <c r="G85" s="5"/>
      <c r="H85" s="5"/>
      <c r="I85" s="5"/>
      <c r="J85" s="5"/>
      <c r="K85" s="5"/>
    </row>
    <row r="86" spans="2:11" x14ac:dyDescent="0.25">
      <c r="B86" s="5"/>
      <c r="D86" s="5"/>
      <c r="E86" s="5"/>
      <c r="F86" s="5"/>
      <c r="G86" s="5"/>
      <c r="H86" s="5"/>
      <c r="I86" s="5"/>
      <c r="J86" s="5"/>
      <c r="K86" s="5"/>
    </row>
    <row r="87" spans="2:11" x14ac:dyDescent="0.25">
      <c r="B87" s="5"/>
      <c r="D87" s="5"/>
      <c r="E87" s="5"/>
      <c r="F87" s="5"/>
      <c r="G87" s="5"/>
      <c r="H87" s="5"/>
      <c r="I87" s="5"/>
      <c r="J87" s="5"/>
      <c r="K87" s="5"/>
    </row>
    <row r="88" spans="2:11" x14ac:dyDescent="0.25">
      <c r="B88" s="5"/>
      <c r="D88" s="5"/>
      <c r="E88" s="5"/>
      <c r="F88" s="5"/>
      <c r="G88" s="5"/>
      <c r="H88" s="5"/>
      <c r="I88" s="5"/>
      <c r="J88" s="5"/>
      <c r="K88" s="5"/>
    </row>
    <row r="89" spans="2:11" x14ac:dyDescent="0.25">
      <c r="B89" s="5"/>
      <c r="D89" s="5"/>
      <c r="E89" s="5"/>
      <c r="F89" s="5"/>
      <c r="G89" s="5"/>
      <c r="H89" s="5"/>
      <c r="I89" s="5"/>
      <c r="J89" s="5"/>
      <c r="K89" s="5"/>
    </row>
    <row r="90" spans="2:11" x14ac:dyDescent="0.25">
      <c r="B90" s="5"/>
      <c r="D90" s="5"/>
      <c r="E90" s="5"/>
      <c r="F90" s="5"/>
      <c r="G90" s="5"/>
      <c r="H90" s="5"/>
      <c r="I90" s="5"/>
      <c r="J90" s="5"/>
      <c r="K90" s="5"/>
    </row>
    <row r="91" spans="2:11" x14ac:dyDescent="0.25">
      <c r="B91" s="5"/>
      <c r="D91" s="5"/>
      <c r="E91" s="5"/>
      <c r="F91" s="5"/>
      <c r="G91" s="5"/>
      <c r="H91" s="5"/>
      <c r="I91" s="5"/>
      <c r="J91" s="5"/>
      <c r="K91" s="5"/>
    </row>
    <row r="92" spans="2:11" x14ac:dyDescent="0.25">
      <c r="B92" s="5"/>
      <c r="D92" s="5"/>
      <c r="E92" s="5"/>
      <c r="F92" s="5"/>
      <c r="G92" s="5"/>
      <c r="H92" s="5"/>
      <c r="I92" s="5"/>
      <c r="J92" s="5"/>
      <c r="K92" s="5"/>
    </row>
    <row r="93" spans="2:11" x14ac:dyDescent="0.25">
      <c r="B93" s="5"/>
      <c r="D93" s="5"/>
      <c r="E93" s="5"/>
      <c r="F93" s="5"/>
      <c r="G93" s="5"/>
      <c r="H93" s="5"/>
      <c r="I93" s="5"/>
      <c r="J93" s="5"/>
      <c r="K93" s="5"/>
    </row>
    <row r="94" spans="2:11" x14ac:dyDescent="0.25">
      <c r="B94" s="5"/>
      <c r="D94" s="5"/>
      <c r="E94" s="5"/>
      <c r="F94" s="5"/>
      <c r="G94" s="5"/>
      <c r="H94" s="5"/>
      <c r="I94" s="5"/>
      <c r="J94" s="5"/>
      <c r="K94" s="5"/>
    </row>
    <row r="95" spans="2:11" x14ac:dyDescent="0.25">
      <c r="B95" s="5"/>
      <c r="D95" s="5"/>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23">
    <mergeCell ref="A1:P1"/>
    <mergeCell ref="A2:P2"/>
    <mergeCell ref="A3:P3"/>
    <mergeCell ref="A4:D4"/>
    <mergeCell ref="A5:P5"/>
    <mergeCell ref="B10:D10"/>
    <mergeCell ref="F10:S10"/>
    <mergeCell ref="F11:S11"/>
    <mergeCell ref="E12:R12"/>
    <mergeCell ref="E13:R13"/>
    <mergeCell ref="B54:B59"/>
    <mergeCell ref="B61:B65"/>
    <mergeCell ref="B66:B73"/>
    <mergeCell ref="B15:B21"/>
    <mergeCell ref="D15:I15"/>
    <mergeCell ref="D16:I16"/>
    <mergeCell ref="D22:I22"/>
    <mergeCell ref="D23:I23"/>
    <mergeCell ref="B25:E25"/>
    <mergeCell ref="B26:B32"/>
    <mergeCell ref="B34:E34"/>
    <mergeCell ref="B35:B41"/>
    <mergeCell ref="B48:E49"/>
  </mergeCells>
  <conditionalFormatting sqref="F10">
    <cfRule type="notContainsBlanks" dxfId="33" priority="6">
      <formula>LEN(TRIM(F10))&gt;0</formula>
    </cfRule>
  </conditionalFormatting>
  <conditionalFormatting sqref="F11:S11">
    <cfRule type="expression" dxfId="32" priority="4">
      <formula>E11="NO SE REPORTA"</formula>
    </cfRule>
    <cfRule type="expression" dxfId="31" priority="5">
      <formula>E10="NO APLICA"</formula>
    </cfRule>
  </conditionalFormatting>
  <conditionalFormatting sqref="E12:R12">
    <cfRule type="expression" dxfId="30"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8:H20">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30" r:id="rId1"/>
  </hyperlinks>
  <pageMargins left="0.25" right="0.25" top="0.75" bottom="0.75" header="0.3" footer="0.3"/>
  <pageSetup paperSize="178" orientation="landscape" horizontalDpi="1200" verticalDpi="120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showGridLines="0" zoomScale="98" zoomScaleNormal="98" workbookViewId="0">
      <selection activeCell="M15" sqref="M15"/>
    </sheetView>
  </sheetViews>
  <sheetFormatPr baseColWidth="10" defaultRowHeight="15" x14ac:dyDescent="0.25"/>
  <cols>
    <col min="1" max="1" width="1.85546875" customWidth="1"/>
    <col min="2" max="2" width="12.85546875" customWidth="1"/>
    <col min="3" max="3" width="5" style="85" bestFit="1" customWidth="1"/>
    <col min="4" max="4" width="34.85546875" customWidth="1"/>
    <col min="5" max="5" width="12.140625" customWidth="1"/>
    <col min="7" max="7" width="12.8554687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972</v>
      </c>
      <c r="B5" s="1008"/>
      <c r="C5" s="1008"/>
      <c r="D5" s="1008"/>
      <c r="E5" s="1008"/>
      <c r="F5" s="1008"/>
      <c r="G5" s="1008"/>
      <c r="H5" s="1008"/>
      <c r="I5" s="1008"/>
      <c r="J5" s="1008"/>
      <c r="K5" s="1008"/>
      <c r="L5" s="1008"/>
      <c r="M5" s="1008"/>
      <c r="N5" s="1008"/>
      <c r="O5" s="1008"/>
      <c r="P5" s="1009"/>
    </row>
    <row r="6" spans="1:21" ht="15.75" thickBot="1" x14ac:dyDescent="0.3">
      <c r="B6" s="1" t="s">
        <v>1</v>
      </c>
      <c r="C6" s="74"/>
      <c r="D6" s="5"/>
      <c r="E6" s="72"/>
      <c r="F6" s="5" t="s">
        <v>128</v>
      </c>
      <c r="G6" s="5"/>
      <c r="H6" s="5"/>
      <c r="I6" s="5"/>
      <c r="J6" s="5"/>
      <c r="K6" s="5"/>
    </row>
    <row r="7" spans="1:21" ht="15.75" thickBot="1" x14ac:dyDescent="0.3">
      <c r="B7" s="169" t="s">
        <v>1192</v>
      </c>
      <c r="C7" s="209">
        <v>2022</v>
      </c>
      <c r="D7" s="211">
        <f>IF(E9="NO APLICA","NO APLICA",IF(E10="NO SE REPORTA","SIN INFORMACION",+G17))</f>
        <v>0.9</v>
      </c>
      <c r="E7" s="220"/>
      <c r="F7" s="5" t="s">
        <v>129</v>
      </c>
      <c r="G7" s="5"/>
      <c r="H7" s="5"/>
      <c r="I7" s="5"/>
      <c r="J7" s="5"/>
      <c r="K7" s="5"/>
    </row>
    <row r="8" spans="1:21" x14ac:dyDescent="0.25">
      <c r="B8" s="363" t="s">
        <v>1193</v>
      </c>
      <c r="E8" s="210"/>
      <c r="F8" s="5" t="s">
        <v>130</v>
      </c>
      <c r="G8" s="5"/>
      <c r="H8" s="5"/>
      <c r="I8" s="5"/>
      <c r="J8" s="5"/>
      <c r="K8" s="5"/>
    </row>
    <row r="9" spans="1:21" x14ac:dyDescent="0.25">
      <c r="B9" s="1015" t="s">
        <v>1250</v>
      </c>
      <c r="C9" s="1015"/>
      <c r="D9" s="1015"/>
      <c r="E9" s="366" t="s">
        <v>1247</v>
      </c>
      <c r="F9" s="1022"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1023"/>
      <c r="H9" s="1023"/>
      <c r="I9" s="1023"/>
      <c r="J9" s="1023"/>
      <c r="K9" s="1023"/>
      <c r="L9" s="1023"/>
      <c r="M9" s="1023"/>
      <c r="N9" s="1023"/>
      <c r="O9" s="1023"/>
      <c r="P9" s="1023"/>
      <c r="Q9" s="1023"/>
      <c r="R9" s="1023"/>
      <c r="S9" s="1023"/>
      <c r="T9" s="5"/>
      <c r="U9" s="5"/>
    </row>
    <row r="10" spans="1:21" ht="14.45" customHeight="1" x14ac:dyDescent="0.25">
      <c r="B10" s="365"/>
      <c r="C10" s="86"/>
      <c r="D10" s="169" t="str">
        <f>IF(E9="SI APLICA","¿El indicador no se reporta por limitaciones de información disponible? ","")</f>
        <v xml:space="preserve">¿El indicador no se reporta por limitaciones de información disponible? </v>
      </c>
      <c r="E10" s="367" t="s">
        <v>1249</v>
      </c>
      <c r="F10" s="1016"/>
      <c r="G10" s="1017"/>
      <c r="H10" s="1017"/>
      <c r="I10" s="1017"/>
      <c r="J10" s="1017"/>
      <c r="K10" s="1017"/>
      <c r="L10" s="1017"/>
      <c r="M10" s="1017"/>
      <c r="N10" s="1017"/>
      <c r="O10" s="1017"/>
      <c r="P10" s="1017"/>
      <c r="Q10" s="1017"/>
      <c r="R10" s="1017"/>
      <c r="S10" s="1017"/>
    </row>
    <row r="11" spans="1:21" ht="43.5" customHeight="1" x14ac:dyDescent="0.25">
      <c r="B11" s="363"/>
      <c r="C11" s="86"/>
      <c r="D11" s="169" t="str">
        <f>IF(E10="SI SE REPORTA","¿Qué programas o proyectos del Plan de Acción están asociados al indicador? ","")</f>
        <v xml:space="preserve">¿Qué programas o proyectos del Plan de Acción están asociados al indicador? </v>
      </c>
      <c r="E11" s="1018" t="s">
        <v>1934</v>
      </c>
      <c r="F11" s="1018"/>
      <c r="G11" s="1018"/>
      <c r="H11" s="1018"/>
      <c r="I11" s="1018"/>
      <c r="J11" s="1018"/>
      <c r="K11" s="1018"/>
      <c r="L11" s="1018"/>
      <c r="M11" s="1018"/>
      <c r="N11" s="1018"/>
      <c r="O11" s="1018"/>
      <c r="P11" s="1018"/>
      <c r="Q11" s="1018"/>
      <c r="R11" s="1018"/>
    </row>
    <row r="12" spans="1:21" ht="21.95" customHeight="1" thickBot="1" x14ac:dyDescent="0.3">
      <c r="B12" s="363"/>
      <c r="C12" s="86"/>
      <c r="D12" s="169" t="s">
        <v>1252</v>
      </c>
      <c r="E12" s="1019"/>
      <c r="F12" s="1020"/>
      <c r="G12" s="1020"/>
      <c r="H12" s="1020"/>
      <c r="I12" s="1020"/>
      <c r="J12" s="1020"/>
      <c r="K12" s="1020"/>
      <c r="L12" s="1020"/>
      <c r="M12" s="1020"/>
      <c r="N12" s="1020"/>
      <c r="O12" s="1020"/>
      <c r="P12" s="1020"/>
      <c r="Q12" s="1020"/>
      <c r="R12" s="1021"/>
    </row>
    <row r="13" spans="1:21" ht="15.75" customHeight="1" thickBot="1" x14ac:dyDescent="0.3">
      <c r="B13" s="1149" t="s">
        <v>2</v>
      </c>
      <c r="C13" s="100"/>
      <c r="D13" s="1048" t="s">
        <v>3</v>
      </c>
      <c r="E13" s="1049"/>
      <c r="F13" s="1049"/>
      <c r="G13" s="1049"/>
      <c r="H13" s="1049"/>
      <c r="I13" s="1037"/>
      <c r="J13" s="1038"/>
      <c r="K13" s="5"/>
    </row>
    <row r="14" spans="1:21" ht="15.75" thickBot="1" x14ac:dyDescent="0.3">
      <c r="B14" s="1150"/>
      <c r="C14" s="96" t="s">
        <v>19</v>
      </c>
      <c r="D14" s="42" t="s">
        <v>150</v>
      </c>
      <c r="E14" s="38" t="s">
        <v>20</v>
      </c>
      <c r="F14" s="38" t="s">
        <v>21</v>
      </c>
      <c r="G14" s="38" t="s">
        <v>22</v>
      </c>
      <c r="H14" s="125" t="s">
        <v>23</v>
      </c>
      <c r="I14" s="291"/>
      <c r="J14" s="240"/>
      <c r="K14" s="5"/>
    </row>
    <row r="15" spans="1:21" ht="80.099999999999994" customHeight="1" thickBot="1" x14ac:dyDescent="0.3">
      <c r="B15" s="1150"/>
      <c r="C15" s="2" t="s">
        <v>152</v>
      </c>
      <c r="D15" s="40" t="s">
        <v>993</v>
      </c>
      <c r="E15" s="6">
        <v>10</v>
      </c>
      <c r="F15" s="6">
        <v>10</v>
      </c>
      <c r="G15" s="6">
        <v>10</v>
      </c>
      <c r="H15" s="330"/>
      <c r="I15" s="332"/>
      <c r="J15" s="21"/>
      <c r="K15" s="5"/>
    </row>
    <row r="16" spans="1:21" ht="74.650000000000006" customHeight="1" thickBot="1" x14ac:dyDescent="0.3">
      <c r="B16" s="1150"/>
      <c r="C16" s="2" t="s">
        <v>154</v>
      </c>
      <c r="D16" s="40" t="s">
        <v>994</v>
      </c>
      <c r="E16" s="6">
        <v>10</v>
      </c>
      <c r="F16" s="6">
        <v>10</v>
      </c>
      <c r="G16" s="6">
        <v>9</v>
      </c>
      <c r="H16" s="330"/>
      <c r="I16" s="332"/>
      <c r="J16" s="21"/>
      <c r="K16" s="5"/>
    </row>
    <row r="17" spans="2:11" ht="72.75" customHeight="1" thickBot="1" x14ac:dyDescent="0.3">
      <c r="B17" s="1150"/>
      <c r="C17" s="2" t="s">
        <v>156</v>
      </c>
      <c r="D17" s="40" t="s">
        <v>995</v>
      </c>
      <c r="E17" s="145">
        <f>+E16/E15</f>
        <v>1</v>
      </c>
      <c r="F17" s="145">
        <f>+F16/F15</f>
        <v>1</v>
      </c>
      <c r="G17" s="145">
        <f>+G16/G15</f>
        <v>0.9</v>
      </c>
      <c r="H17" s="331" t="e">
        <f>+H16/H15</f>
        <v>#DIV/0!</v>
      </c>
      <c r="I17" s="333"/>
      <c r="J17" s="23"/>
      <c r="K17" s="5"/>
    </row>
    <row r="18" spans="2:11" x14ac:dyDescent="0.25">
      <c r="B18" s="1150"/>
      <c r="C18" s="101"/>
      <c r="D18" s="1036"/>
      <c r="E18" s="1037"/>
      <c r="F18" s="1037"/>
      <c r="G18" s="1037"/>
      <c r="H18" s="1037"/>
      <c r="I18" s="1028"/>
      <c r="J18" s="1029"/>
      <c r="K18" s="5"/>
    </row>
    <row r="19" spans="2:11" ht="24" customHeight="1" thickBot="1" x14ac:dyDescent="0.3">
      <c r="B19" s="1150"/>
      <c r="C19" s="101"/>
      <c r="D19" s="1027" t="s">
        <v>996</v>
      </c>
      <c r="E19" s="1028"/>
      <c r="F19" s="1028"/>
      <c r="G19" s="1028"/>
      <c r="H19" s="1028"/>
      <c r="I19" s="1028"/>
      <c r="J19" s="1029"/>
      <c r="K19" s="5"/>
    </row>
    <row r="20" spans="2:11" ht="24.75" thickBot="1" x14ac:dyDescent="0.3">
      <c r="B20" s="1150"/>
      <c r="C20" s="96" t="s">
        <v>19</v>
      </c>
      <c r="D20" s="38" t="s">
        <v>309</v>
      </c>
      <c r="E20" s="42" t="s">
        <v>997</v>
      </c>
      <c r="F20" s="42" t="s">
        <v>998</v>
      </c>
      <c r="G20" s="42" t="s">
        <v>55</v>
      </c>
      <c r="H20" s="5"/>
      <c r="J20" s="21"/>
      <c r="K20" s="5"/>
    </row>
    <row r="21" spans="2:11" ht="72" customHeight="1" thickBot="1" x14ac:dyDescent="0.3">
      <c r="B21" s="1150"/>
      <c r="C21" s="2">
        <v>1</v>
      </c>
      <c r="D21" s="29" t="s">
        <v>1797</v>
      </c>
      <c r="E21" s="1097">
        <v>9</v>
      </c>
      <c r="F21" s="1099" t="s">
        <v>2046</v>
      </c>
      <c r="G21" s="1099"/>
      <c r="H21" s="5"/>
      <c r="J21" s="21"/>
      <c r="K21" s="5"/>
    </row>
    <row r="22" spans="2:11" ht="90" customHeight="1" thickBot="1" x14ac:dyDescent="0.3">
      <c r="B22" s="1150"/>
      <c r="C22" s="2">
        <v>2</v>
      </c>
      <c r="D22" s="29" t="s">
        <v>1798</v>
      </c>
      <c r="E22" s="1098"/>
      <c r="F22" s="1100"/>
      <c r="G22" s="1100"/>
      <c r="H22" s="5"/>
      <c r="J22" s="21"/>
      <c r="K22" s="5"/>
    </row>
    <row r="23" spans="2:11" ht="15.75" thickBot="1" x14ac:dyDescent="0.3">
      <c r="B23" s="1150"/>
      <c r="C23" s="2">
        <v>3</v>
      </c>
      <c r="D23" s="30"/>
      <c r="E23" s="6"/>
      <c r="F23" s="29"/>
      <c r="G23" s="29"/>
      <c r="H23" s="5"/>
      <c r="J23" s="21"/>
      <c r="K23" s="5"/>
    </row>
    <row r="24" spans="2:11" ht="15.75" thickBot="1" x14ac:dyDescent="0.3">
      <c r="B24" s="1150"/>
      <c r="C24" s="2">
        <v>4</v>
      </c>
      <c r="D24" s="30"/>
      <c r="E24" s="6"/>
      <c r="F24" s="29"/>
      <c r="G24" s="29"/>
      <c r="H24" s="5"/>
      <c r="J24" s="21"/>
      <c r="K24" s="5"/>
    </row>
    <row r="25" spans="2:11" ht="15.75" thickBot="1" x14ac:dyDescent="0.3">
      <c r="B25" s="1150"/>
      <c r="C25" s="2">
        <v>5</v>
      </c>
      <c r="D25" s="30"/>
      <c r="E25" s="6"/>
      <c r="F25" s="29"/>
      <c r="G25" s="29"/>
      <c r="H25" s="5"/>
      <c r="J25" s="21"/>
      <c r="K25" s="5"/>
    </row>
    <row r="26" spans="2:11" ht="15.75" thickBot="1" x14ac:dyDescent="0.3">
      <c r="B26" s="1150"/>
      <c r="C26" s="2">
        <v>6</v>
      </c>
      <c r="D26" s="30"/>
      <c r="E26" s="6"/>
      <c r="F26" s="29"/>
      <c r="G26" s="29"/>
      <c r="H26" s="5"/>
      <c r="J26" s="21"/>
      <c r="K26" s="5"/>
    </row>
    <row r="27" spans="2:11" ht="15.75" thickBot="1" x14ac:dyDescent="0.3">
      <c r="B27" s="1150"/>
      <c r="C27" s="2">
        <v>7</v>
      </c>
      <c r="D27" s="30"/>
      <c r="E27" s="6"/>
      <c r="F27" s="29"/>
      <c r="G27" s="29"/>
      <c r="H27" s="5"/>
      <c r="J27" s="21"/>
      <c r="K27" s="5"/>
    </row>
    <row r="28" spans="2:11" ht="15.75" thickBot="1" x14ac:dyDescent="0.3">
      <c r="B28" s="1150"/>
      <c r="C28" s="2">
        <v>8</v>
      </c>
      <c r="D28" s="30"/>
      <c r="E28" s="6"/>
      <c r="F28" s="29"/>
      <c r="G28" s="29"/>
      <c r="H28" s="5"/>
      <c r="J28" s="21"/>
      <c r="K28" s="5"/>
    </row>
    <row r="29" spans="2:11" ht="15.75" thickBot="1" x14ac:dyDescent="0.3">
      <c r="B29" s="1150"/>
      <c r="C29" s="2">
        <v>9</v>
      </c>
      <c r="D29" s="30"/>
      <c r="E29" s="6"/>
      <c r="F29" s="29"/>
      <c r="G29" s="29"/>
      <c r="H29" s="5"/>
      <c r="J29" s="21"/>
      <c r="K29" s="5"/>
    </row>
    <row r="30" spans="2:11" ht="15.75" thickBot="1" x14ac:dyDescent="0.3">
      <c r="B30" s="1151"/>
      <c r="C30" s="2">
        <v>10</v>
      </c>
      <c r="D30" s="30"/>
      <c r="E30" s="6"/>
      <c r="F30" s="29"/>
      <c r="G30" s="29"/>
      <c r="H30" s="22"/>
      <c r="J30" s="23"/>
      <c r="K30" s="5"/>
    </row>
    <row r="31" spans="2:11" ht="24" customHeight="1" thickBot="1" x14ac:dyDescent="0.3">
      <c r="B31" s="59" t="s">
        <v>34</v>
      </c>
      <c r="C31" s="102"/>
      <c r="D31" s="1048" t="s">
        <v>999</v>
      </c>
      <c r="E31" s="1049"/>
      <c r="F31" s="1049"/>
      <c r="G31" s="1049"/>
      <c r="H31" s="1049"/>
      <c r="I31" s="1049"/>
      <c r="J31" s="1050"/>
      <c r="K31" s="5"/>
    </row>
    <row r="32" spans="2:11" ht="18.75" thickBot="1" x14ac:dyDescent="0.3">
      <c r="B32" s="59" t="s">
        <v>36</v>
      </c>
      <c r="C32" s="102"/>
      <c r="D32" s="1048" t="s">
        <v>278</v>
      </c>
      <c r="E32" s="1049"/>
      <c r="F32" s="1049"/>
      <c r="G32" s="1049"/>
      <c r="H32" s="1049"/>
      <c r="I32" s="1049"/>
      <c r="J32" s="1050"/>
      <c r="K32" s="5"/>
    </row>
    <row r="33" spans="2:11" ht="15.75" thickBot="1" x14ac:dyDescent="0.3">
      <c r="B33" s="1"/>
      <c r="C33" s="74"/>
      <c r="D33" s="5"/>
      <c r="E33" s="5"/>
      <c r="F33" s="5"/>
      <c r="G33" s="5"/>
      <c r="H33" s="5"/>
      <c r="I33" s="5"/>
      <c r="J33" s="5"/>
      <c r="K33" s="5"/>
    </row>
    <row r="34" spans="2:11" ht="24" customHeight="1" thickBot="1" x14ac:dyDescent="0.3">
      <c r="B34" s="1054" t="s">
        <v>38</v>
      </c>
      <c r="C34" s="1055"/>
      <c r="D34" s="1055"/>
      <c r="E34" s="1056"/>
      <c r="F34" s="5"/>
      <c r="G34" s="5"/>
      <c r="H34" s="5"/>
      <c r="I34" s="5"/>
      <c r="J34" s="5"/>
      <c r="K34" s="5"/>
    </row>
    <row r="35" spans="2:11" ht="15.75" thickBot="1" x14ac:dyDescent="0.3">
      <c r="B35" s="1045">
        <v>1</v>
      </c>
      <c r="C35" s="92"/>
      <c r="D35" s="47" t="s">
        <v>39</v>
      </c>
      <c r="E35" s="30" t="s">
        <v>1771</v>
      </c>
      <c r="F35" s="5"/>
      <c r="G35" s="5"/>
      <c r="H35" s="5"/>
      <c r="I35" s="5"/>
      <c r="J35" s="5"/>
      <c r="K35" s="5"/>
    </row>
    <row r="36" spans="2:11" ht="15.75" thickBot="1" x14ac:dyDescent="0.3">
      <c r="B36" s="1046"/>
      <c r="C36" s="92"/>
      <c r="D36" s="40" t="s">
        <v>40</v>
      </c>
      <c r="E36" s="30" t="s">
        <v>1772</v>
      </c>
      <c r="F36" s="5"/>
      <c r="G36" s="5"/>
      <c r="H36" s="5"/>
      <c r="I36" s="5"/>
      <c r="J36" s="5"/>
      <c r="K36" s="5"/>
    </row>
    <row r="37" spans="2:11" ht="15.75" thickBot="1" x14ac:dyDescent="0.3">
      <c r="B37" s="1046"/>
      <c r="C37" s="92"/>
      <c r="D37" s="40" t="s">
        <v>41</v>
      </c>
      <c r="E37" s="30" t="s">
        <v>1774</v>
      </c>
      <c r="F37" s="5"/>
      <c r="G37" s="5"/>
      <c r="H37" s="5"/>
      <c r="I37" s="5"/>
      <c r="J37" s="5"/>
      <c r="K37" s="5"/>
    </row>
    <row r="38" spans="2:11" ht="15.75" thickBot="1" x14ac:dyDescent="0.3">
      <c r="B38" s="1046"/>
      <c r="C38" s="92"/>
      <c r="D38" s="40" t="s">
        <v>42</v>
      </c>
      <c r="E38" s="30" t="s">
        <v>1494</v>
      </c>
      <c r="F38" s="5"/>
      <c r="G38" s="5"/>
      <c r="H38" s="5"/>
      <c r="I38" s="5"/>
      <c r="J38" s="5"/>
      <c r="K38" s="5"/>
    </row>
    <row r="39" spans="2:11" ht="15.75" thickBot="1" x14ac:dyDescent="0.3">
      <c r="B39" s="1046"/>
      <c r="C39" s="92"/>
      <c r="D39" s="40" t="s">
        <v>43</v>
      </c>
      <c r="E39" s="515" t="s">
        <v>1775</v>
      </c>
      <c r="F39" s="5"/>
      <c r="G39" s="5"/>
      <c r="H39" s="5"/>
      <c r="I39" s="5"/>
      <c r="J39" s="5"/>
      <c r="K39" s="5"/>
    </row>
    <row r="40" spans="2:11" ht="15.75" thickBot="1" x14ac:dyDescent="0.3">
      <c r="B40" s="1046"/>
      <c r="C40" s="92"/>
      <c r="D40" s="40" t="s">
        <v>44</v>
      </c>
      <c r="E40" s="30">
        <v>4380200</v>
      </c>
      <c r="F40" s="5"/>
      <c r="G40" s="5"/>
      <c r="H40" s="5"/>
      <c r="I40" s="5"/>
      <c r="J40" s="5"/>
      <c r="K40" s="5"/>
    </row>
    <row r="41" spans="2:11" ht="15.75" thickBot="1" x14ac:dyDescent="0.3">
      <c r="B41" s="1047"/>
      <c r="C41" s="2"/>
      <c r="D41" s="40" t="s">
        <v>45</v>
      </c>
      <c r="E41" s="30" t="s">
        <v>1773</v>
      </c>
      <c r="F41" s="5"/>
      <c r="G41" s="5"/>
      <c r="H41" s="5"/>
      <c r="I41" s="5"/>
      <c r="J41" s="5"/>
      <c r="K41" s="5"/>
    </row>
    <row r="42" spans="2:11" ht="15.75" thickBot="1" x14ac:dyDescent="0.3">
      <c r="B42" s="1"/>
      <c r="C42" s="74"/>
      <c r="D42" s="5"/>
      <c r="E42" s="5"/>
      <c r="F42" s="5"/>
      <c r="G42" s="5"/>
      <c r="H42" s="5"/>
      <c r="I42" s="5"/>
      <c r="J42" s="5"/>
      <c r="K42" s="5"/>
    </row>
    <row r="43" spans="2:11" ht="15.75" thickBot="1" x14ac:dyDescent="0.3">
      <c r="B43" s="1054" t="s">
        <v>46</v>
      </c>
      <c r="C43" s="1055"/>
      <c r="D43" s="1055"/>
      <c r="E43" s="1056"/>
      <c r="F43" s="5"/>
      <c r="G43" s="5"/>
      <c r="H43" s="5"/>
      <c r="I43" s="5"/>
      <c r="J43" s="5"/>
      <c r="K43" s="5"/>
    </row>
    <row r="44" spans="2:11" ht="15.75" thickBot="1" x14ac:dyDescent="0.3">
      <c r="B44" s="1045">
        <v>1</v>
      </c>
      <c r="C44" s="92"/>
      <c r="D44" s="47" t="s">
        <v>39</v>
      </c>
      <c r="E44" s="217" t="s">
        <v>47</v>
      </c>
      <c r="F44" s="5"/>
      <c r="G44" s="5"/>
      <c r="H44" s="5"/>
      <c r="I44" s="5"/>
      <c r="J44" s="5"/>
      <c r="K44" s="5"/>
    </row>
    <row r="45" spans="2:11" ht="15.75" thickBot="1" x14ac:dyDescent="0.3">
      <c r="B45" s="1046"/>
      <c r="C45" s="92"/>
      <c r="D45" s="40" t="s">
        <v>40</v>
      </c>
      <c r="E45" s="217" t="s">
        <v>48</v>
      </c>
      <c r="F45" s="5"/>
      <c r="G45" s="5"/>
      <c r="H45" s="5"/>
      <c r="I45" s="5"/>
      <c r="J45" s="5"/>
      <c r="K45" s="5"/>
    </row>
    <row r="46" spans="2:11" ht="15.75" thickBot="1" x14ac:dyDescent="0.3">
      <c r="B46" s="1046"/>
      <c r="C46" s="92"/>
      <c r="D46" s="40" t="s">
        <v>41</v>
      </c>
      <c r="E46" s="334"/>
      <c r="F46" s="5"/>
      <c r="G46" s="5"/>
      <c r="H46" s="5"/>
      <c r="I46" s="5"/>
      <c r="J46" s="5"/>
      <c r="K46" s="5"/>
    </row>
    <row r="47" spans="2:11" ht="15.75" thickBot="1" x14ac:dyDescent="0.3">
      <c r="B47" s="1046"/>
      <c r="C47" s="92"/>
      <c r="D47" s="40" t="s">
        <v>42</v>
      </c>
      <c r="E47" s="334"/>
      <c r="F47" s="5"/>
      <c r="G47" s="5"/>
      <c r="H47" s="5"/>
      <c r="I47" s="5"/>
      <c r="J47" s="5"/>
      <c r="K47" s="5"/>
    </row>
    <row r="48" spans="2:11" ht="15.75" thickBot="1" x14ac:dyDescent="0.3">
      <c r="B48" s="1046"/>
      <c r="C48" s="92"/>
      <c r="D48" s="40" t="s">
        <v>43</v>
      </c>
      <c r="E48" s="334"/>
      <c r="F48" s="5"/>
      <c r="G48" s="5"/>
      <c r="H48" s="5"/>
      <c r="I48" s="5"/>
      <c r="J48" s="5"/>
      <c r="K48" s="5"/>
    </row>
    <row r="49" spans="2:11" ht="15.75" thickBot="1" x14ac:dyDescent="0.3">
      <c r="B49" s="1046"/>
      <c r="C49" s="92"/>
      <c r="D49" s="40" t="s">
        <v>44</v>
      </c>
      <c r="E49" s="334"/>
      <c r="F49" s="5"/>
      <c r="G49" s="5"/>
      <c r="H49" s="5"/>
      <c r="I49" s="5"/>
      <c r="J49" s="5"/>
      <c r="K49" s="5"/>
    </row>
    <row r="50" spans="2:11" ht="15.75" thickBot="1" x14ac:dyDescent="0.3">
      <c r="B50" s="1047"/>
      <c r="C50" s="2"/>
      <c r="D50" s="40" t="s">
        <v>45</v>
      </c>
      <c r="E50" s="334"/>
      <c r="F50" s="5"/>
      <c r="G50" s="5"/>
      <c r="H50" s="5"/>
      <c r="I50" s="5"/>
      <c r="J50" s="5"/>
      <c r="K50" s="5"/>
    </row>
    <row r="51" spans="2:11" x14ac:dyDescent="0.25">
      <c r="B51" s="1"/>
      <c r="C51" s="74"/>
      <c r="D51" s="5"/>
      <c r="E51" s="5"/>
      <c r="F51" s="5"/>
      <c r="G51" s="5"/>
      <c r="H51" s="5"/>
      <c r="I51" s="5"/>
      <c r="J51" s="5"/>
      <c r="K51" s="5"/>
    </row>
    <row r="52" spans="2:11" ht="15.75" thickBot="1" x14ac:dyDescent="0.3">
      <c r="B52" s="1"/>
      <c r="C52" s="74"/>
      <c r="D52" s="5"/>
      <c r="E52" s="5"/>
      <c r="F52" s="5"/>
      <c r="G52" s="5"/>
      <c r="H52" s="5"/>
      <c r="I52" s="5"/>
      <c r="J52" s="5"/>
      <c r="K52" s="5"/>
    </row>
    <row r="53" spans="2:11" ht="15" customHeight="1" thickBot="1" x14ac:dyDescent="0.3">
      <c r="B53" s="117" t="s">
        <v>49</v>
      </c>
      <c r="C53" s="118"/>
      <c r="D53" s="118"/>
      <c r="E53" s="119"/>
      <c r="G53" s="5"/>
      <c r="H53" s="5"/>
      <c r="I53" s="5"/>
      <c r="J53" s="5"/>
      <c r="K53" s="5"/>
    </row>
    <row r="54" spans="2:11" ht="24.75" thickBot="1" x14ac:dyDescent="0.3">
      <c r="B54" s="46" t="s">
        <v>50</v>
      </c>
      <c r="C54" s="40" t="s">
        <v>51</v>
      </c>
      <c r="D54" s="40" t="s">
        <v>52</v>
      </c>
      <c r="E54" s="40" t="s">
        <v>53</v>
      </c>
      <c r="F54" s="5"/>
      <c r="G54" s="5"/>
      <c r="H54" s="5"/>
      <c r="I54" s="5"/>
      <c r="J54" s="5"/>
    </row>
    <row r="55" spans="2:11" ht="120.75" thickBot="1" x14ac:dyDescent="0.3">
      <c r="B55" s="48">
        <v>42401</v>
      </c>
      <c r="C55" s="40">
        <v>0.01</v>
      </c>
      <c r="D55" s="49" t="s">
        <v>1000</v>
      </c>
      <c r="E55" s="40"/>
      <c r="F55" s="5"/>
      <c r="G55" s="5"/>
      <c r="H55" s="5"/>
      <c r="I55" s="5"/>
      <c r="J55" s="5"/>
    </row>
    <row r="56" spans="2:11" ht="15.75" thickBot="1" x14ac:dyDescent="0.3">
      <c r="B56" s="3"/>
      <c r="C56" s="93"/>
      <c r="D56" s="5"/>
      <c r="E56" s="5"/>
      <c r="F56" s="5"/>
      <c r="G56" s="5"/>
      <c r="H56" s="5"/>
      <c r="I56" s="5"/>
      <c r="J56" s="5"/>
      <c r="K56" s="5"/>
    </row>
    <row r="57" spans="2:11" x14ac:dyDescent="0.25">
      <c r="B57" s="127" t="s">
        <v>55</v>
      </c>
      <c r="C57" s="94"/>
      <c r="D57" s="5"/>
      <c r="E57" s="5"/>
      <c r="F57" s="5"/>
      <c r="G57" s="5"/>
      <c r="H57" s="5"/>
      <c r="I57" s="5"/>
      <c r="J57" s="5"/>
      <c r="K57" s="5"/>
    </row>
    <row r="58" spans="2:11" x14ac:dyDescent="0.25">
      <c r="B58" s="1211"/>
      <c r="C58" s="1212"/>
      <c r="D58" s="1212"/>
      <c r="E58" s="1213"/>
      <c r="F58" s="5"/>
      <c r="G58" s="5"/>
      <c r="H58" s="5"/>
      <c r="I58" s="5"/>
      <c r="J58" s="5"/>
      <c r="K58" s="5"/>
    </row>
    <row r="59" spans="2:11" x14ac:dyDescent="0.25">
      <c r="B59" s="1214"/>
      <c r="C59" s="1215"/>
      <c r="D59" s="1215"/>
      <c r="E59" s="1216"/>
      <c r="F59" s="5"/>
      <c r="G59" s="5"/>
      <c r="H59" s="5"/>
      <c r="I59" s="5"/>
      <c r="J59" s="5"/>
      <c r="K59" s="5"/>
    </row>
    <row r="60" spans="2:11" x14ac:dyDescent="0.25">
      <c r="B60" s="1"/>
      <c r="C60" s="74"/>
      <c r="D60" s="5"/>
      <c r="E60" s="5"/>
      <c r="F60" s="5"/>
      <c r="G60" s="5"/>
      <c r="H60" s="5"/>
      <c r="I60" s="5"/>
      <c r="J60" s="5"/>
      <c r="K60" s="5"/>
    </row>
    <row r="61" spans="2:11" ht="15.75" thickBot="1" x14ac:dyDescent="0.3">
      <c r="B61" s="5"/>
      <c r="D61" s="5"/>
      <c r="E61" s="5"/>
      <c r="F61" s="5"/>
      <c r="G61" s="5"/>
      <c r="H61" s="5"/>
      <c r="I61" s="5"/>
      <c r="J61" s="5"/>
      <c r="K61" s="5"/>
    </row>
    <row r="62" spans="2:11" ht="15.75" thickBot="1" x14ac:dyDescent="0.3">
      <c r="B62" s="1054" t="s">
        <v>56</v>
      </c>
      <c r="C62" s="1055"/>
      <c r="D62" s="1056"/>
      <c r="E62" s="5"/>
      <c r="F62" s="5"/>
      <c r="G62" s="5"/>
      <c r="H62" s="5"/>
      <c r="I62" s="5"/>
      <c r="J62" s="5"/>
      <c r="K62" s="5"/>
    </row>
    <row r="63" spans="2:11" ht="120" x14ac:dyDescent="0.25">
      <c r="B63" s="1045" t="s">
        <v>57</v>
      </c>
      <c r="C63" s="92"/>
      <c r="D63" s="45" t="s">
        <v>973</v>
      </c>
      <c r="E63" s="5"/>
      <c r="F63" s="5"/>
      <c r="G63" s="5"/>
      <c r="H63" s="5"/>
      <c r="I63" s="5"/>
      <c r="J63" s="5"/>
      <c r="K63" s="5"/>
    </row>
    <row r="64" spans="2:11" x14ac:dyDescent="0.25">
      <c r="B64" s="1046"/>
      <c r="C64" s="92"/>
      <c r="D64" s="52" t="s">
        <v>60</v>
      </c>
      <c r="E64" s="5"/>
      <c r="F64" s="5"/>
      <c r="G64" s="5"/>
      <c r="H64" s="5"/>
      <c r="I64" s="5"/>
      <c r="J64" s="5"/>
      <c r="K64" s="5"/>
    </row>
    <row r="65" spans="2:11" ht="144" x14ac:dyDescent="0.25">
      <c r="B65" s="1046"/>
      <c r="C65" s="92"/>
      <c r="D65" s="45" t="s">
        <v>974</v>
      </c>
      <c r="E65" s="5"/>
      <c r="F65" s="5"/>
      <c r="G65" s="5"/>
      <c r="H65" s="5"/>
      <c r="I65" s="5"/>
      <c r="J65" s="5"/>
      <c r="K65" s="5"/>
    </row>
    <row r="66" spans="2:11" x14ac:dyDescent="0.25">
      <c r="B66" s="1046"/>
      <c r="C66" s="92"/>
      <c r="D66" s="52" t="s">
        <v>63</v>
      </c>
      <c r="E66" s="5"/>
      <c r="F66" s="5"/>
      <c r="G66" s="5"/>
      <c r="H66" s="5"/>
      <c r="I66" s="5"/>
      <c r="J66" s="5"/>
      <c r="K66" s="5"/>
    </row>
    <row r="67" spans="2:11" ht="372.75" thickBot="1" x14ac:dyDescent="0.3">
      <c r="B67" s="1047"/>
      <c r="C67" s="2"/>
      <c r="D67" s="40" t="s">
        <v>975</v>
      </c>
      <c r="E67" s="5"/>
      <c r="F67" s="5"/>
      <c r="G67" s="5"/>
      <c r="H67" s="5"/>
      <c r="I67" s="5"/>
      <c r="J67" s="5"/>
      <c r="K67" s="5"/>
    </row>
    <row r="68" spans="2:11" ht="348" x14ac:dyDescent="0.25">
      <c r="B68" s="1045" t="s">
        <v>59</v>
      </c>
      <c r="C68" s="92"/>
      <c r="D68" s="25" t="s">
        <v>976</v>
      </c>
      <c r="E68" s="5"/>
      <c r="F68" s="5"/>
      <c r="G68" s="5"/>
      <c r="H68" s="5"/>
      <c r="I68" s="5"/>
      <c r="J68" s="5"/>
      <c r="K68" s="5"/>
    </row>
    <row r="69" spans="2:11" ht="264" x14ac:dyDescent="0.25">
      <c r="B69" s="1046"/>
      <c r="C69" s="92"/>
      <c r="D69" s="25" t="s">
        <v>977</v>
      </c>
      <c r="E69" s="5"/>
      <c r="F69" s="5"/>
      <c r="G69" s="5"/>
      <c r="H69" s="5"/>
      <c r="I69" s="5"/>
      <c r="J69" s="5"/>
      <c r="K69" s="5"/>
    </row>
    <row r="70" spans="2:11" ht="36" x14ac:dyDescent="0.25">
      <c r="B70" s="1046"/>
      <c r="C70" s="92"/>
      <c r="D70" s="25" t="s">
        <v>978</v>
      </c>
      <c r="E70" s="5"/>
      <c r="F70" s="5"/>
      <c r="G70" s="5"/>
      <c r="H70" s="5"/>
      <c r="I70" s="5"/>
      <c r="J70" s="5"/>
      <c r="K70" s="5"/>
    </row>
    <row r="71" spans="2:11" ht="24" x14ac:dyDescent="0.25">
      <c r="B71" s="1046"/>
      <c r="C71" s="92"/>
      <c r="D71" s="25" t="s">
        <v>979</v>
      </c>
      <c r="E71" s="5"/>
      <c r="F71" s="5"/>
      <c r="G71" s="5"/>
      <c r="H71" s="5"/>
      <c r="I71" s="5"/>
      <c r="J71" s="5"/>
      <c r="K71" s="5"/>
    </row>
    <row r="72" spans="2:11" x14ac:dyDescent="0.25">
      <c r="B72" s="1046"/>
      <c r="C72" s="92"/>
      <c r="D72" s="52" t="s">
        <v>288</v>
      </c>
      <c r="E72" s="5"/>
      <c r="F72" s="5"/>
      <c r="G72" s="5"/>
      <c r="H72" s="5"/>
      <c r="I72" s="5"/>
      <c r="J72" s="5"/>
      <c r="K72" s="5"/>
    </row>
    <row r="73" spans="2:11" ht="15.75" thickBot="1" x14ac:dyDescent="0.3">
      <c r="B73" s="1047"/>
      <c r="C73" s="2"/>
      <c r="D73" s="40" t="s">
        <v>289</v>
      </c>
      <c r="E73" s="5"/>
      <c r="F73" s="5"/>
      <c r="G73" s="5"/>
      <c r="H73" s="5"/>
      <c r="I73" s="5"/>
      <c r="J73" s="5"/>
      <c r="K73" s="5"/>
    </row>
    <row r="74" spans="2:11" ht="24.75" thickBot="1" x14ac:dyDescent="0.3">
      <c r="B74" s="46" t="s">
        <v>72</v>
      </c>
      <c r="C74" s="2"/>
      <c r="D74" s="40"/>
      <c r="E74" s="5"/>
      <c r="F74" s="5"/>
      <c r="G74" s="5"/>
      <c r="H74" s="5"/>
      <c r="I74" s="5"/>
      <c r="J74" s="5"/>
      <c r="K74" s="5"/>
    </row>
    <row r="75" spans="2:11" ht="396" x14ac:dyDescent="0.25">
      <c r="B75" s="1045" t="s">
        <v>73</v>
      </c>
      <c r="C75" s="92"/>
      <c r="D75" s="45" t="s">
        <v>980</v>
      </c>
      <c r="E75" s="5"/>
      <c r="F75" s="5"/>
      <c r="G75" s="5"/>
      <c r="H75" s="5"/>
      <c r="I75" s="5"/>
      <c r="J75" s="5"/>
      <c r="K75" s="5"/>
    </row>
    <row r="76" spans="2:11" ht="216" x14ac:dyDescent="0.25">
      <c r="B76" s="1046"/>
      <c r="C76" s="92"/>
      <c r="D76" s="45" t="s">
        <v>981</v>
      </c>
      <c r="E76" s="5"/>
      <c r="F76" s="5"/>
      <c r="G76" s="5"/>
      <c r="H76" s="5"/>
      <c r="I76" s="5"/>
      <c r="J76" s="5"/>
      <c r="K76" s="5"/>
    </row>
    <row r="77" spans="2:11" ht="120" x14ac:dyDescent="0.25">
      <c r="B77" s="1046"/>
      <c r="C77" s="92"/>
      <c r="D77" s="45" t="s">
        <v>982</v>
      </c>
      <c r="E77" s="5"/>
      <c r="F77" s="5"/>
      <c r="G77" s="5"/>
      <c r="H77" s="5"/>
      <c r="I77" s="5"/>
      <c r="J77" s="5"/>
      <c r="K77" s="5"/>
    </row>
    <row r="78" spans="2:11" ht="108" x14ac:dyDescent="0.25">
      <c r="B78" s="1046"/>
      <c r="C78" s="92"/>
      <c r="D78" s="45" t="s">
        <v>983</v>
      </c>
      <c r="E78" s="5"/>
      <c r="F78" s="5"/>
      <c r="G78" s="5"/>
      <c r="H78" s="5"/>
      <c r="I78" s="5"/>
      <c r="J78" s="5"/>
      <c r="K78" s="5"/>
    </row>
    <row r="79" spans="2:11" ht="252" x14ac:dyDescent="0.25">
      <c r="B79" s="1046"/>
      <c r="C79" s="92"/>
      <c r="D79" s="45" t="s">
        <v>984</v>
      </c>
      <c r="E79" s="5"/>
      <c r="F79" s="5"/>
      <c r="G79" s="5"/>
      <c r="H79" s="5"/>
      <c r="I79" s="5"/>
      <c r="J79" s="5"/>
      <c r="K79" s="5"/>
    </row>
    <row r="80" spans="2:11" ht="48" x14ac:dyDescent="0.25">
      <c r="B80" s="1046"/>
      <c r="C80" s="92"/>
      <c r="D80" s="45" t="s">
        <v>985</v>
      </c>
      <c r="E80" s="5"/>
      <c r="F80" s="5"/>
      <c r="G80" s="5"/>
      <c r="H80" s="5"/>
      <c r="I80" s="5"/>
      <c r="J80" s="5"/>
      <c r="K80" s="5"/>
    </row>
    <row r="81" spans="2:11" ht="96" x14ac:dyDescent="0.25">
      <c r="B81" s="1046"/>
      <c r="C81" s="92"/>
      <c r="D81" s="60" t="s">
        <v>986</v>
      </c>
      <c r="E81" s="5"/>
      <c r="F81" s="5"/>
      <c r="G81" s="5"/>
      <c r="H81" s="5"/>
      <c r="I81" s="5"/>
      <c r="J81" s="5"/>
      <c r="K81" s="5"/>
    </row>
    <row r="82" spans="2:11" ht="60" x14ac:dyDescent="0.25">
      <c r="B82" s="1046"/>
      <c r="C82" s="92"/>
      <c r="D82" s="60" t="s">
        <v>987</v>
      </c>
      <c r="E82" s="5"/>
      <c r="F82" s="5"/>
      <c r="G82" s="5"/>
      <c r="H82" s="5"/>
      <c r="I82" s="5"/>
      <c r="J82" s="5"/>
      <c r="K82" s="5"/>
    </row>
    <row r="83" spans="2:11" ht="52.5" thickBot="1" x14ac:dyDescent="0.3">
      <c r="B83" s="1047"/>
      <c r="C83" s="2"/>
      <c r="D83" s="61" t="s">
        <v>988</v>
      </c>
      <c r="E83" s="5"/>
      <c r="F83" s="5"/>
      <c r="G83" s="5"/>
      <c r="H83" s="5"/>
      <c r="I83" s="5"/>
      <c r="J83" s="5"/>
      <c r="K83" s="5"/>
    </row>
    <row r="84" spans="2:11" ht="15.75" thickBot="1" x14ac:dyDescent="0.3">
      <c r="B84" s="1"/>
      <c r="C84" s="74"/>
      <c r="D84" s="5"/>
      <c r="E84" s="5"/>
      <c r="F84" s="5"/>
      <c r="G84" s="5"/>
      <c r="H84" s="5"/>
      <c r="I84" s="5"/>
      <c r="J84" s="5"/>
      <c r="K84" s="5"/>
    </row>
    <row r="85" spans="2:11" ht="48" x14ac:dyDescent="0.25">
      <c r="B85" s="1045" t="s">
        <v>90</v>
      </c>
      <c r="C85" s="103"/>
      <c r="D85" s="63" t="s">
        <v>989</v>
      </c>
      <c r="E85" s="5"/>
      <c r="F85" s="5"/>
      <c r="G85" s="5"/>
      <c r="H85" s="5"/>
      <c r="I85" s="5"/>
      <c r="J85" s="5"/>
      <c r="K85" s="5"/>
    </row>
    <row r="86" spans="2:11" x14ac:dyDescent="0.25">
      <c r="B86" s="1046"/>
      <c r="C86" s="92"/>
      <c r="D86" s="16"/>
      <c r="E86" s="5"/>
      <c r="F86" s="5"/>
      <c r="G86" s="5"/>
      <c r="H86" s="5"/>
      <c r="I86" s="5"/>
      <c r="J86" s="5"/>
      <c r="K86" s="5"/>
    </row>
    <row r="87" spans="2:11" x14ac:dyDescent="0.25">
      <c r="B87" s="1046"/>
      <c r="C87" s="92"/>
      <c r="D87" s="45" t="s">
        <v>91</v>
      </c>
      <c r="E87" s="5"/>
      <c r="F87" s="5"/>
      <c r="G87" s="5"/>
      <c r="H87" s="5"/>
      <c r="I87" s="5"/>
      <c r="J87" s="5"/>
      <c r="K87" s="5"/>
    </row>
    <row r="88" spans="2:11" ht="109.5" x14ac:dyDescent="0.25">
      <c r="B88" s="1046"/>
      <c r="C88" s="92"/>
      <c r="D88" s="45" t="s">
        <v>990</v>
      </c>
      <c r="E88" s="5"/>
      <c r="F88" s="5"/>
      <c r="G88" s="5"/>
      <c r="H88" s="5"/>
      <c r="I88" s="5"/>
      <c r="J88" s="5"/>
      <c r="K88" s="5"/>
    </row>
    <row r="89" spans="2:11" ht="97.5" x14ac:dyDescent="0.25">
      <c r="B89" s="1046"/>
      <c r="C89" s="92"/>
      <c r="D89" s="45" t="s">
        <v>991</v>
      </c>
      <c r="E89" s="5"/>
      <c r="F89" s="5"/>
      <c r="G89" s="5"/>
      <c r="H89" s="5"/>
      <c r="I89" s="5"/>
      <c r="J89" s="5"/>
      <c r="K89" s="5"/>
    </row>
    <row r="90" spans="2:11" ht="98.25" thickBot="1" x14ac:dyDescent="0.3">
      <c r="B90" s="1047"/>
      <c r="C90" s="2"/>
      <c r="D90" s="40" t="s">
        <v>992</v>
      </c>
      <c r="E90" s="5"/>
      <c r="F90" s="5"/>
      <c r="G90" s="5"/>
      <c r="H90" s="5"/>
      <c r="I90" s="5"/>
      <c r="J90" s="5"/>
      <c r="K90" s="5"/>
    </row>
    <row r="91" spans="2:11" x14ac:dyDescent="0.25">
      <c r="B91" s="5"/>
      <c r="D91" s="5"/>
      <c r="E91" s="5"/>
      <c r="F91" s="5"/>
      <c r="G91" s="5"/>
      <c r="H91" s="5"/>
      <c r="I91" s="5"/>
      <c r="J91" s="5"/>
      <c r="K91" s="5"/>
    </row>
  </sheetData>
  <sheetProtection insertRows="0"/>
  <mergeCells count="29">
    <mergeCell ref="A1:P1"/>
    <mergeCell ref="A2:P2"/>
    <mergeCell ref="A3:P3"/>
    <mergeCell ref="A4:D4"/>
    <mergeCell ref="A5:P5"/>
    <mergeCell ref="B9:D9"/>
    <mergeCell ref="F9:S9"/>
    <mergeCell ref="F10:S10"/>
    <mergeCell ref="E11:R11"/>
    <mergeCell ref="E12:R12"/>
    <mergeCell ref="D13:J13"/>
    <mergeCell ref="D18:J18"/>
    <mergeCell ref="D19:J19"/>
    <mergeCell ref="B62:D62"/>
    <mergeCell ref="D31:J31"/>
    <mergeCell ref="D32:J32"/>
    <mergeCell ref="B34:E34"/>
    <mergeCell ref="B35:B41"/>
    <mergeCell ref="B43:E43"/>
    <mergeCell ref="B44:B50"/>
    <mergeCell ref="B58:E59"/>
    <mergeCell ref="E21:E22"/>
    <mergeCell ref="F21:F22"/>
    <mergeCell ref="G21:G22"/>
    <mergeCell ref="B63:B67"/>
    <mergeCell ref="B68:B73"/>
    <mergeCell ref="B75:B83"/>
    <mergeCell ref="B85:B90"/>
    <mergeCell ref="B13:B30"/>
  </mergeCells>
  <conditionalFormatting sqref="F9">
    <cfRule type="notContainsBlanks" dxfId="29" priority="4">
      <formula>LEN(TRIM(F9))&gt;0</formula>
    </cfRule>
  </conditionalFormatting>
  <conditionalFormatting sqref="F10:S10">
    <cfRule type="expression" dxfId="28" priority="2">
      <formula>E10="NO SE REPORTA"</formula>
    </cfRule>
    <cfRule type="expression" dxfId="27" priority="3">
      <formula>E9="NO APLICA"</formula>
    </cfRule>
  </conditionalFormatting>
  <conditionalFormatting sqref="E11:R11">
    <cfRule type="expression" dxfId="26" priority="1">
      <formula>E10="SI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5:H16 E23:E30 E21">
      <formula1>0</formula1>
    </dataValidation>
    <dataValidation type="list" allowBlank="1" showInputMessage="1" showErrorMessage="1" sqref="E10">
      <formula1>REPORTE</formula1>
    </dataValidation>
    <dataValidation type="list" allowBlank="1" showInputMessage="1" showErrorMessage="1" sqref="E9">
      <formula1>SI</formula1>
    </dataValidation>
  </dataValidations>
  <hyperlinks>
    <hyperlink ref="B8" location="'ANEXO 3'!A1" display="VOLVER AL INDICE"/>
    <hyperlink ref="E39" r:id="rId1"/>
  </hyperlinks>
  <pageMargins left="0.25" right="0.25" top="0.75" bottom="0.75" header="0.3" footer="0.3"/>
  <pageSetup paperSize="178" orientation="landscape" horizontalDpi="1200" verticalDpi="120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9"/>
  <sheetViews>
    <sheetView showGridLines="0" zoomScale="98" zoomScaleNormal="98" workbookViewId="0">
      <selection activeCell="Q95" sqref="Q95"/>
    </sheetView>
  </sheetViews>
  <sheetFormatPr baseColWidth="10" defaultRowHeight="15" x14ac:dyDescent="0.25"/>
  <cols>
    <col min="1" max="1" width="1.85546875" customWidth="1"/>
    <col min="2" max="2" width="10.7109375" customWidth="1"/>
    <col min="3" max="3" width="5" style="85" bestFit="1" customWidth="1"/>
    <col min="4" max="4" width="34.85546875" customWidth="1"/>
    <col min="5" max="5" width="12.140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1001</v>
      </c>
      <c r="B5" s="1008"/>
      <c r="C5" s="1008"/>
      <c r="D5" s="1008"/>
      <c r="E5" s="1008"/>
      <c r="F5" s="1008"/>
      <c r="G5" s="1008"/>
      <c r="H5" s="1008"/>
      <c r="I5" s="1008"/>
      <c r="J5" s="1008"/>
      <c r="K5" s="1008"/>
      <c r="L5" s="1008"/>
      <c r="M5" s="1008"/>
      <c r="N5" s="1008"/>
      <c r="O5" s="1008"/>
      <c r="P5" s="1009"/>
    </row>
    <row r="6" spans="1:21" x14ac:dyDescent="0.25">
      <c r="B6" s="1" t="s">
        <v>1</v>
      </c>
      <c r="C6" s="74"/>
      <c r="D6" s="5"/>
      <c r="E6" s="208"/>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INFORMACION",+F81))</f>
        <v>1</v>
      </c>
      <c r="E8" s="210"/>
      <c r="F8" s="5" t="s">
        <v>130</v>
      </c>
      <c r="G8" s="5"/>
      <c r="H8" s="5"/>
      <c r="I8" s="5"/>
      <c r="J8" s="5"/>
      <c r="K8" s="5"/>
    </row>
    <row r="9" spans="1:21" x14ac:dyDescent="0.25">
      <c r="B9" s="363" t="s">
        <v>1193</v>
      </c>
      <c r="C9" s="86"/>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1935</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C14" s="86"/>
      <c r="D14" s="5"/>
      <c r="E14" s="5"/>
      <c r="F14" s="5"/>
      <c r="G14" s="5"/>
      <c r="H14" s="5"/>
      <c r="I14" s="5"/>
      <c r="J14" s="5"/>
      <c r="K14" s="5"/>
    </row>
    <row r="15" spans="1:21" ht="15" customHeight="1" thickTop="1" x14ac:dyDescent="0.25">
      <c r="B15" s="1090" t="s">
        <v>2</v>
      </c>
      <c r="C15" s="87"/>
      <c r="D15" s="1036" t="s">
        <v>3</v>
      </c>
      <c r="E15" s="1037"/>
      <c r="F15" s="1037"/>
      <c r="G15" s="1037"/>
      <c r="H15" s="1037"/>
      <c r="I15" s="1037"/>
      <c r="J15" s="1037"/>
      <c r="K15" s="1037"/>
      <c r="L15" s="1152"/>
      <c r="M15" s="1133"/>
    </row>
    <row r="16" spans="1:21" x14ac:dyDescent="0.25">
      <c r="B16" s="1064"/>
      <c r="C16" s="90"/>
      <c r="D16" s="1165" t="s">
        <v>1020</v>
      </c>
      <c r="E16" s="1166"/>
      <c r="F16" s="1166"/>
      <c r="G16" s="1166"/>
      <c r="H16" s="1166"/>
      <c r="I16" s="1166"/>
      <c r="J16" s="1166"/>
      <c r="K16" s="1166"/>
      <c r="L16" s="1217"/>
      <c r="M16" s="1185"/>
    </row>
    <row r="17" spans="2:13" ht="15.75" thickBot="1" x14ac:dyDescent="0.3">
      <c r="B17" s="1064"/>
      <c r="C17" s="90"/>
      <c r="D17" s="1027" t="s">
        <v>1021</v>
      </c>
      <c r="E17" s="1028"/>
      <c r="F17" s="1028"/>
      <c r="G17" s="1028"/>
      <c r="H17" s="1028"/>
      <c r="I17" s="1028"/>
      <c r="J17" s="1028"/>
      <c r="K17" s="1028"/>
      <c r="L17" s="1145"/>
      <c r="M17" s="1118"/>
    </row>
    <row r="18" spans="2:13" ht="15.75" thickBot="1" x14ac:dyDescent="0.3">
      <c r="B18" s="1064"/>
      <c r="C18" s="92"/>
      <c r="D18" s="1219" t="s">
        <v>1022</v>
      </c>
      <c r="E18" s="1139" t="s">
        <v>1023</v>
      </c>
      <c r="F18" s="1148"/>
      <c r="G18" s="1139" t="s">
        <v>1024</v>
      </c>
      <c r="H18" s="1148"/>
      <c r="I18" s="1139" t="s">
        <v>151</v>
      </c>
      <c r="J18" s="1148"/>
      <c r="K18" s="58"/>
      <c r="M18" s="13"/>
    </row>
    <row r="19" spans="2:13" ht="15.75" thickBot="1" x14ac:dyDescent="0.3">
      <c r="B19" s="1064"/>
      <c r="C19" s="92"/>
      <c r="D19" s="1220"/>
      <c r="E19" s="39" t="s">
        <v>1025</v>
      </c>
      <c r="F19" s="39" t="s">
        <v>1026</v>
      </c>
      <c r="G19" s="39" t="s">
        <v>1025</v>
      </c>
      <c r="H19" s="39" t="s">
        <v>1026</v>
      </c>
      <c r="I19" s="39" t="s">
        <v>1025</v>
      </c>
      <c r="J19" s="39" t="s">
        <v>1026</v>
      </c>
      <c r="M19" s="13"/>
    </row>
    <row r="20" spans="2:13" ht="15.75" thickBot="1" x14ac:dyDescent="0.3">
      <c r="B20" s="216"/>
      <c r="C20" s="92"/>
      <c r="D20" s="39" t="s">
        <v>1027</v>
      </c>
      <c r="E20" s="6">
        <v>0</v>
      </c>
      <c r="F20" s="6">
        <v>0</v>
      </c>
      <c r="G20" s="6">
        <v>0</v>
      </c>
      <c r="H20" s="6">
        <v>0</v>
      </c>
      <c r="I20" s="206">
        <f>+E20+G20</f>
        <v>0</v>
      </c>
      <c r="J20" s="206">
        <f>+F20+H20</f>
        <v>0</v>
      </c>
      <c r="M20" s="13"/>
    </row>
    <row r="21" spans="2:13" x14ac:dyDescent="0.25">
      <c r="B21" s="216"/>
      <c r="C21" s="99"/>
      <c r="D21" s="1027"/>
      <c r="E21" s="1028"/>
      <c r="F21" s="1028"/>
      <c r="G21" s="1028"/>
      <c r="H21" s="1028"/>
      <c r="I21" s="1028"/>
      <c r="J21" s="1028"/>
      <c r="K21" s="1028"/>
      <c r="L21" s="1145"/>
      <c r="M21" s="1118"/>
    </row>
    <row r="22" spans="2:13" ht="15.75" thickBot="1" x14ac:dyDescent="0.3">
      <c r="B22" s="216"/>
      <c r="C22" s="90"/>
      <c r="D22" s="128"/>
      <c r="E22" s="128"/>
      <c r="F22" s="352" t="s">
        <v>55</v>
      </c>
      <c r="G22" s="128"/>
      <c r="H22" s="128"/>
      <c r="I22" s="128"/>
      <c r="J22" s="128"/>
      <c r="K22" s="128"/>
      <c r="L22" s="349"/>
      <c r="M22" s="350"/>
    </row>
    <row r="23" spans="2:13" ht="24.75" thickBot="1" x14ac:dyDescent="0.3">
      <c r="B23" s="216"/>
      <c r="C23" s="92"/>
      <c r="D23" s="42" t="s">
        <v>1028</v>
      </c>
      <c r="E23" s="348">
        <f>+I20</f>
        <v>0</v>
      </c>
      <c r="F23" s="351">
        <v>0</v>
      </c>
      <c r="G23" s="5"/>
      <c r="H23" s="5"/>
      <c r="I23" s="5"/>
      <c r="J23" s="5"/>
      <c r="K23" s="5"/>
      <c r="M23" s="13"/>
    </row>
    <row r="24" spans="2:13" ht="24.75" thickBot="1" x14ac:dyDescent="0.3">
      <c r="B24" s="216"/>
      <c r="C24" s="92"/>
      <c r="D24" s="40" t="s">
        <v>1029</v>
      </c>
      <c r="E24" s="348">
        <f>+J20</f>
        <v>0</v>
      </c>
      <c r="F24" s="185">
        <v>0</v>
      </c>
      <c r="G24" s="5"/>
      <c r="H24" s="5"/>
      <c r="I24" s="5"/>
      <c r="J24" s="5"/>
      <c r="K24" s="5"/>
      <c r="M24" s="13"/>
    </row>
    <row r="25" spans="2:13" ht="24.75" thickBot="1" x14ac:dyDescent="0.3">
      <c r="B25" s="216"/>
      <c r="C25" s="92"/>
      <c r="D25" s="40" t="s">
        <v>1030</v>
      </c>
      <c r="E25" s="331">
        <v>0</v>
      </c>
      <c r="F25" s="185">
        <v>0</v>
      </c>
      <c r="G25" s="5"/>
      <c r="H25" s="5"/>
      <c r="I25" s="5"/>
      <c r="J25" s="5"/>
      <c r="K25" s="5"/>
      <c r="M25" s="13"/>
    </row>
    <row r="26" spans="2:13" x14ac:dyDescent="0.25">
      <c r="B26" s="216"/>
      <c r="C26" s="90"/>
      <c r="D26" s="1165" t="s">
        <v>1031</v>
      </c>
      <c r="E26" s="1166"/>
      <c r="F26" s="1166"/>
      <c r="G26" s="1166"/>
      <c r="H26" s="1166"/>
      <c r="I26" s="1166"/>
      <c r="J26" s="1166"/>
      <c r="K26" s="1166"/>
      <c r="L26" s="1217"/>
      <c r="M26" s="1185"/>
    </row>
    <row r="27" spans="2:13" ht="15.75" thickBot="1" x14ac:dyDescent="0.3">
      <c r="B27" s="216"/>
      <c r="C27" s="90"/>
      <c r="D27" s="1039" t="s">
        <v>1032</v>
      </c>
      <c r="E27" s="1040"/>
      <c r="F27" s="1040"/>
      <c r="G27" s="1040"/>
      <c r="H27" s="1040"/>
      <c r="I27" s="1040"/>
      <c r="J27" s="1040"/>
      <c r="K27" s="1040"/>
      <c r="L27" s="1144"/>
      <c r="M27" s="1119"/>
    </row>
    <row r="28" spans="2:13" ht="24.75" thickBot="1" x14ac:dyDescent="0.3">
      <c r="B28" s="216"/>
      <c r="C28" s="92"/>
      <c r="D28" s="42" t="s">
        <v>1033</v>
      </c>
      <c r="E28" s="326">
        <v>1</v>
      </c>
      <c r="F28" s="5"/>
      <c r="G28" s="5"/>
      <c r="H28" s="5"/>
      <c r="I28" s="5"/>
      <c r="J28" s="5"/>
      <c r="K28" s="5"/>
      <c r="M28" s="13"/>
    </row>
    <row r="29" spans="2:13" ht="24.75" thickBot="1" x14ac:dyDescent="0.3">
      <c r="B29" s="216"/>
      <c r="C29" s="92"/>
      <c r="D29" s="40" t="s">
        <v>1034</v>
      </c>
      <c r="E29" s="326">
        <v>9</v>
      </c>
      <c r="F29" s="5"/>
      <c r="G29" s="5"/>
      <c r="H29" s="5"/>
      <c r="I29" s="5"/>
      <c r="J29" s="5"/>
      <c r="K29" s="5"/>
      <c r="M29" s="13"/>
    </row>
    <row r="30" spans="2:13" ht="24.75" thickBot="1" x14ac:dyDescent="0.3">
      <c r="B30" s="216"/>
      <c r="C30" s="92"/>
      <c r="D30" s="40" t="s">
        <v>1035</v>
      </c>
      <c r="E30" s="326">
        <v>0</v>
      </c>
      <c r="F30" s="5"/>
      <c r="G30" s="5"/>
      <c r="H30" s="5"/>
      <c r="I30" s="5"/>
      <c r="J30" s="5"/>
      <c r="K30" s="5"/>
      <c r="M30" s="13"/>
    </row>
    <row r="31" spans="2:13" ht="15.75" thickBot="1" x14ac:dyDescent="0.3">
      <c r="B31" s="216"/>
      <c r="C31" s="90"/>
      <c r="D31" s="1051" t="s">
        <v>1036</v>
      </c>
      <c r="E31" s="1052"/>
      <c r="F31" s="1052"/>
      <c r="G31" s="1052"/>
      <c r="H31" s="1052"/>
      <c r="I31" s="1052"/>
      <c r="J31" s="1052"/>
      <c r="K31" s="1052"/>
      <c r="L31" s="1218"/>
      <c r="M31" s="1120"/>
    </row>
    <row r="32" spans="2:13" ht="15.75" thickBot="1" x14ac:dyDescent="0.3">
      <c r="B32" s="216"/>
      <c r="C32" s="96" t="s">
        <v>19</v>
      </c>
      <c r="D32" s="42" t="s">
        <v>1037</v>
      </c>
      <c r="E32" s="249" t="s">
        <v>1829</v>
      </c>
      <c r="F32" s="249" t="s">
        <v>1829</v>
      </c>
      <c r="G32" s="249" t="s">
        <v>1829</v>
      </c>
      <c r="H32" s="249" t="s">
        <v>1829</v>
      </c>
      <c r="I32" s="249" t="s">
        <v>1829</v>
      </c>
      <c r="J32" s="249" t="s">
        <v>1829</v>
      </c>
      <c r="K32" s="249" t="s">
        <v>1829</v>
      </c>
      <c r="L32" s="249" t="s">
        <v>1829</v>
      </c>
      <c r="M32" s="249" t="s">
        <v>1829</v>
      </c>
    </row>
    <row r="33" spans="2:13" ht="15.75" thickBot="1" x14ac:dyDescent="0.3">
      <c r="B33" s="216"/>
      <c r="C33" s="2" t="s">
        <v>152</v>
      </c>
      <c r="D33" s="40" t="s">
        <v>1038</v>
      </c>
      <c r="E33" s="353" t="s">
        <v>1830</v>
      </c>
      <c r="F33" s="353" t="s">
        <v>1831</v>
      </c>
      <c r="G33" s="353" t="s">
        <v>1832</v>
      </c>
      <c r="H33" s="353" t="s">
        <v>1833</v>
      </c>
      <c r="I33" s="353" t="s">
        <v>1834</v>
      </c>
      <c r="J33" s="353" t="s">
        <v>1835</v>
      </c>
      <c r="K33" s="353" t="s">
        <v>1836</v>
      </c>
      <c r="L33" s="353" t="s">
        <v>1837</v>
      </c>
      <c r="M33" s="354" t="s">
        <v>1838</v>
      </c>
    </row>
    <row r="34" spans="2:13" ht="36.75" thickBot="1" x14ac:dyDescent="0.3">
      <c r="B34" s="216"/>
      <c r="C34" s="2" t="s">
        <v>154</v>
      </c>
      <c r="D34" s="123" t="s">
        <v>1039</v>
      </c>
      <c r="E34" s="6" t="s">
        <v>1839</v>
      </c>
      <c r="F34" s="6" t="s">
        <v>1840</v>
      </c>
      <c r="G34" s="6" t="s">
        <v>1841</v>
      </c>
      <c r="H34" s="6" t="s">
        <v>1842</v>
      </c>
      <c r="I34" s="6" t="s">
        <v>1843</v>
      </c>
      <c r="J34" s="6" t="s">
        <v>1844</v>
      </c>
      <c r="K34" s="6" t="s">
        <v>1845</v>
      </c>
      <c r="L34" s="6" t="s">
        <v>1846</v>
      </c>
      <c r="M34" s="6" t="s">
        <v>1847</v>
      </c>
    </row>
    <row r="35" spans="2:13" ht="24.75" thickBot="1" x14ac:dyDescent="0.3">
      <c r="B35" s="216"/>
      <c r="C35" s="2" t="s">
        <v>156</v>
      </c>
      <c r="D35" s="123" t="s">
        <v>1040</v>
      </c>
      <c r="E35" s="356">
        <v>122</v>
      </c>
      <c r="F35" s="329">
        <v>122</v>
      </c>
      <c r="G35" s="329">
        <v>101</v>
      </c>
      <c r="H35" s="329">
        <v>122</v>
      </c>
      <c r="I35" s="329">
        <v>122</v>
      </c>
      <c r="J35" s="329">
        <v>122</v>
      </c>
      <c r="K35" s="329">
        <v>122</v>
      </c>
      <c r="L35" s="357">
        <v>122</v>
      </c>
      <c r="M35" s="357">
        <v>0</v>
      </c>
    </row>
    <row r="36" spans="2:13" ht="24.75" thickBot="1" x14ac:dyDescent="0.3">
      <c r="B36" s="216"/>
      <c r="C36" s="2" t="s">
        <v>258</v>
      </c>
      <c r="D36" s="123" t="s">
        <v>1041</v>
      </c>
      <c r="E36" s="358">
        <v>115</v>
      </c>
      <c r="F36" s="359">
        <v>109</v>
      </c>
      <c r="G36" s="359">
        <v>87</v>
      </c>
      <c r="H36" s="359">
        <v>109</v>
      </c>
      <c r="I36" s="359">
        <v>114</v>
      </c>
      <c r="J36" s="359">
        <v>110</v>
      </c>
      <c r="K36" s="359">
        <v>117</v>
      </c>
      <c r="L36" s="360">
        <v>118</v>
      </c>
      <c r="M36" s="360">
        <v>0</v>
      </c>
    </row>
    <row r="37" spans="2:13" ht="24.75" thickBot="1" x14ac:dyDescent="0.3">
      <c r="B37" s="216"/>
      <c r="C37" s="1093" t="s">
        <v>260</v>
      </c>
      <c r="D37" s="45" t="s">
        <v>1042</v>
      </c>
      <c r="E37" s="355">
        <f>IFERROR(E36/E35,"N.A.")</f>
        <v>0.94262295081967218</v>
      </c>
      <c r="F37" s="355">
        <f t="shared" ref="F37:L37" si="0">IFERROR(F36/F35,"N.A.")</f>
        <v>0.89344262295081966</v>
      </c>
      <c r="G37" s="355">
        <f t="shared" si="0"/>
        <v>0.86138613861386137</v>
      </c>
      <c r="H37" s="355">
        <f t="shared" si="0"/>
        <v>0.89344262295081966</v>
      </c>
      <c r="I37" s="355">
        <f t="shared" si="0"/>
        <v>0.93442622950819676</v>
      </c>
      <c r="J37" s="355">
        <f t="shared" si="0"/>
        <v>0.90163934426229508</v>
      </c>
      <c r="K37" s="355">
        <f t="shared" si="0"/>
        <v>0.95901639344262291</v>
      </c>
      <c r="L37" s="355">
        <f t="shared" si="0"/>
        <v>0.96721311475409832</v>
      </c>
      <c r="M37" s="355" t="str">
        <f t="shared" ref="M37" si="1">IFERROR(M36/M35,"N.A.")</f>
        <v>N.A.</v>
      </c>
    </row>
    <row r="38" spans="2:13" ht="24.75" thickBot="1" x14ac:dyDescent="0.3">
      <c r="B38" s="216"/>
      <c r="C38" s="1094"/>
      <c r="D38" s="40" t="s">
        <v>1043</v>
      </c>
      <c r="E38" s="147">
        <f>+IF(E37="N.A.","N.A.",IF(E37&gt;=75%,1,0))</f>
        <v>1</v>
      </c>
      <c r="F38" s="147">
        <f t="shared" ref="F38:L38" si="2">+IF(F37="N.A.","N.A.",IF(F37&gt;=75%,1,0))</f>
        <v>1</v>
      </c>
      <c r="G38" s="147">
        <f t="shared" si="2"/>
        <v>1</v>
      </c>
      <c r="H38" s="147">
        <f t="shared" si="2"/>
        <v>1</v>
      </c>
      <c r="I38" s="147">
        <f t="shared" si="2"/>
        <v>1</v>
      </c>
      <c r="J38" s="147">
        <f t="shared" si="2"/>
        <v>1</v>
      </c>
      <c r="K38" s="147">
        <f t="shared" si="2"/>
        <v>1</v>
      </c>
      <c r="L38" s="147">
        <f t="shared" si="2"/>
        <v>1</v>
      </c>
      <c r="M38" s="147" t="str">
        <f t="shared" ref="M38" si="3">+IF(M37="N.A.","N.A.",IF(M37&gt;=75%,1,0))</f>
        <v>N.A.</v>
      </c>
    </row>
    <row r="39" spans="2:13" ht="36.75" thickBot="1" x14ac:dyDescent="0.3">
      <c r="B39" s="216"/>
      <c r="C39" s="2" t="s">
        <v>262</v>
      </c>
      <c r="D39" s="40" t="s">
        <v>1044</v>
      </c>
      <c r="E39" s="30"/>
      <c r="F39" s="30"/>
      <c r="G39" s="30"/>
      <c r="H39" s="30"/>
      <c r="I39" s="30"/>
      <c r="J39" s="29" t="s">
        <v>1848</v>
      </c>
      <c r="K39" s="30"/>
      <c r="L39" s="30"/>
      <c r="M39" s="29" t="s">
        <v>1849</v>
      </c>
    </row>
    <row r="40" spans="2:13" x14ac:dyDescent="0.25">
      <c r="B40" s="216"/>
      <c r="C40" s="90"/>
      <c r="D40" s="1036"/>
      <c r="E40" s="1037"/>
      <c r="F40" s="1037"/>
      <c r="G40" s="1037"/>
      <c r="H40" s="1037"/>
      <c r="I40" s="1037"/>
      <c r="J40" s="1037"/>
      <c r="K40" s="1037"/>
      <c r="L40" s="1152"/>
      <c r="M40" s="1133"/>
    </row>
    <row r="41" spans="2:13" ht="15.75" thickBot="1" x14ac:dyDescent="0.3">
      <c r="B41" s="216"/>
      <c r="C41" s="90"/>
      <c r="D41" s="1027" t="s">
        <v>1045</v>
      </c>
      <c r="E41" s="1028"/>
      <c r="F41" s="1028"/>
      <c r="G41" s="1028"/>
      <c r="H41" s="1028"/>
      <c r="I41" s="1028"/>
      <c r="J41" s="1028"/>
      <c r="K41" s="1028"/>
      <c r="L41" s="1145"/>
      <c r="M41" s="1118"/>
    </row>
    <row r="42" spans="2:13" ht="15.75" thickBot="1" x14ac:dyDescent="0.3">
      <c r="B42" s="216"/>
      <c r="C42" s="96" t="s">
        <v>19</v>
      </c>
      <c r="D42" s="42" t="s">
        <v>1046</v>
      </c>
      <c r="E42" s="6">
        <v>1</v>
      </c>
      <c r="F42" s="6"/>
      <c r="G42" s="6"/>
      <c r="H42" s="42" t="s">
        <v>151</v>
      </c>
      <c r="I42" s="5"/>
      <c r="J42" s="154" t="s">
        <v>1186</v>
      </c>
      <c r="K42" s="5"/>
      <c r="M42" s="13"/>
    </row>
    <row r="43" spans="2:13" ht="15.75" thickBot="1" x14ac:dyDescent="0.3">
      <c r="B43" s="216"/>
      <c r="C43" s="2" t="s">
        <v>264</v>
      </c>
      <c r="D43" s="40" t="s">
        <v>1047</v>
      </c>
      <c r="E43" s="522" t="s">
        <v>1829</v>
      </c>
      <c r="F43" s="30"/>
      <c r="G43" s="30"/>
      <c r="H43" s="148">
        <f>MAX(E42:G42)</f>
        <v>1</v>
      </c>
      <c r="I43" s="5"/>
      <c r="K43" s="5"/>
      <c r="M43" s="13"/>
    </row>
    <row r="44" spans="2:13" ht="15.75" thickBot="1" x14ac:dyDescent="0.3">
      <c r="B44" s="216"/>
      <c r="C44" s="2" t="s">
        <v>266</v>
      </c>
      <c r="D44" s="40" t="s">
        <v>1051</v>
      </c>
      <c r="E44" s="6">
        <v>8</v>
      </c>
      <c r="F44" s="6"/>
      <c r="G44" s="6"/>
      <c r="H44" s="149">
        <f>SUM(E44:G44)</f>
        <v>8</v>
      </c>
      <c r="I44" s="5"/>
      <c r="J44" s="5"/>
      <c r="K44" s="5"/>
      <c r="M44" s="13"/>
    </row>
    <row r="45" spans="2:13" ht="36.75" thickBot="1" x14ac:dyDescent="0.3">
      <c r="B45" s="216"/>
      <c r="C45" s="2" t="s">
        <v>268</v>
      </c>
      <c r="D45" s="40" t="s">
        <v>1052</v>
      </c>
      <c r="E45" s="6">
        <v>8</v>
      </c>
      <c r="F45" s="6"/>
      <c r="G45" s="6"/>
      <c r="H45" s="149">
        <f>SUM(E45:G45)</f>
        <v>8</v>
      </c>
      <c r="I45" s="5"/>
      <c r="J45" s="5"/>
      <c r="K45" s="5"/>
      <c r="M45" s="13"/>
    </row>
    <row r="46" spans="2:13" ht="24.75" thickBot="1" x14ac:dyDescent="0.3">
      <c r="B46" s="216"/>
      <c r="C46" s="1093" t="s">
        <v>1053</v>
      </c>
      <c r="D46" s="45" t="s">
        <v>1054</v>
      </c>
      <c r="E46" s="146">
        <f>IFERROR(E45/E44,"N.A.")</f>
        <v>1</v>
      </c>
      <c r="F46" s="146" t="str">
        <f>IFERROR(F45/F44,"N.A.")</f>
        <v>N.A.</v>
      </c>
      <c r="G46" s="146" t="str">
        <f>IFERROR(G45/G44,"N.A.")</f>
        <v>N.A.</v>
      </c>
      <c r="H46" s="150"/>
      <c r="I46" s="5"/>
      <c r="J46" s="5"/>
      <c r="K46" s="5"/>
      <c r="M46" s="13"/>
    </row>
    <row r="47" spans="2:13" ht="24.75" thickBot="1" x14ac:dyDescent="0.3">
      <c r="B47" s="216"/>
      <c r="C47" s="1094"/>
      <c r="D47" s="40" t="s">
        <v>1055</v>
      </c>
      <c r="E47" s="147">
        <f>+IF(E46="N.A.","N.A.",IF(E46&gt;=75%,1,0))</f>
        <v>1</v>
      </c>
      <c r="F47" s="147" t="str">
        <f>+IF(F46="N.A.","N.A.",IF(F46&gt;=75%,1,0))</f>
        <v>N.A.</v>
      </c>
      <c r="G47" s="147" t="str">
        <f>+IF(G46="N.A.","N.A.",IF(G46&gt;=75%,1,0))</f>
        <v>N.A.</v>
      </c>
      <c r="H47" s="149">
        <f>SUM(E47:G47)</f>
        <v>1</v>
      </c>
      <c r="I47" s="5"/>
      <c r="J47" s="5"/>
      <c r="K47" s="5"/>
      <c r="M47" s="13"/>
    </row>
    <row r="48" spans="2:13" ht="15.75" thickBot="1" x14ac:dyDescent="0.3">
      <c r="B48" s="216"/>
      <c r="C48" s="2" t="s">
        <v>1056</v>
      </c>
      <c r="D48" s="1048" t="s">
        <v>1057</v>
      </c>
      <c r="E48" s="1049"/>
      <c r="F48" s="1049"/>
      <c r="G48" s="1050"/>
      <c r="H48" s="207">
        <f>IFERROR(H47/H43,"N.A.")</f>
        <v>1</v>
      </c>
      <c r="I48" s="5"/>
      <c r="J48" s="5"/>
      <c r="K48" s="5"/>
      <c r="M48" s="13"/>
    </row>
    <row r="49" spans="2:13" ht="15.75" thickBot="1" x14ac:dyDescent="0.3">
      <c r="B49" s="216"/>
      <c r="C49" s="90"/>
      <c r="D49" s="1165" t="s">
        <v>1058</v>
      </c>
      <c r="E49" s="1166"/>
      <c r="F49" s="1166"/>
      <c r="G49" s="1166"/>
      <c r="H49" s="1166"/>
      <c r="I49" s="1166"/>
      <c r="J49" s="1166"/>
      <c r="K49" s="1166"/>
      <c r="L49" s="1217"/>
      <c r="M49" s="1185"/>
    </row>
    <row r="50" spans="2:13" ht="24.75" thickBot="1" x14ac:dyDescent="0.3">
      <c r="B50" s="216"/>
      <c r="C50" s="92"/>
      <c r="D50" s="42" t="s">
        <v>1033</v>
      </c>
      <c r="E50" s="6"/>
      <c r="F50" s="5"/>
      <c r="G50" s="5"/>
      <c r="H50" s="5"/>
      <c r="I50" s="5"/>
      <c r="J50" s="5"/>
      <c r="K50" s="5"/>
      <c r="M50" s="13"/>
    </row>
    <row r="51" spans="2:13" ht="24.75" thickBot="1" x14ac:dyDescent="0.3">
      <c r="B51" s="216"/>
      <c r="C51" s="92"/>
      <c r="D51" s="40" t="s">
        <v>1034</v>
      </c>
      <c r="E51" s="6"/>
      <c r="F51" s="5"/>
      <c r="G51" s="5"/>
      <c r="H51" s="5"/>
      <c r="I51" s="5"/>
      <c r="J51" s="5"/>
      <c r="K51" s="5"/>
      <c r="M51" s="13"/>
    </row>
    <row r="52" spans="2:13" ht="24.75" thickBot="1" x14ac:dyDescent="0.3">
      <c r="B52" s="216"/>
      <c r="C52" s="92"/>
      <c r="D52" s="40" t="s">
        <v>1035</v>
      </c>
      <c r="E52" s="6"/>
      <c r="F52" s="5"/>
      <c r="G52" s="5"/>
      <c r="H52" s="5"/>
      <c r="I52" s="5"/>
      <c r="J52" s="5"/>
      <c r="K52" s="5"/>
      <c r="M52" s="13"/>
    </row>
    <row r="53" spans="2:13" ht="15.75" thickBot="1" x14ac:dyDescent="0.3">
      <c r="B53" s="216"/>
      <c r="C53" s="90"/>
      <c r="D53" s="1051" t="s">
        <v>1036</v>
      </c>
      <c r="E53" s="1052"/>
      <c r="F53" s="1052"/>
      <c r="G53" s="1052"/>
      <c r="H53" s="1052"/>
      <c r="I53" s="1052"/>
      <c r="J53" s="1052"/>
      <c r="K53" s="1052"/>
      <c r="L53" s="1218"/>
      <c r="M53" s="1120"/>
    </row>
    <row r="54" spans="2:13" ht="15.75" thickBot="1" x14ac:dyDescent="0.3">
      <c r="B54" s="216"/>
      <c r="C54" s="96" t="s">
        <v>19</v>
      </c>
      <c r="D54" s="42" t="s">
        <v>1037</v>
      </c>
      <c r="E54" s="249"/>
      <c r="F54" s="249"/>
      <c r="G54" s="249"/>
      <c r="H54" s="249"/>
      <c r="I54" s="249"/>
      <c r="J54" s="249"/>
      <c r="K54" s="249"/>
      <c r="L54" s="327"/>
      <c r="M54" s="115"/>
    </row>
    <row r="55" spans="2:13" ht="15.75" thickBot="1" x14ac:dyDescent="0.3">
      <c r="B55" s="216"/>
      <c r="C55" s="2" t="s">
        <v>152</v>
      </c>
      <c r="D55" s="40" t="s">
        <v>1038</v>
      </c>
      <c r="E55" s="30"/>
      <c r="F55" s="30"/>
      <c r="G55" s="30"/>
      <c r="H55" s="30"/>
      <c r="I55" s="30"/>
      <c r="J55" s="30"/>
      <c r="K55" s="30"/>
      <c r="L55" s="328"/>
      <c r="M55" s="11"/>
    </row>
    <row r="56" spans="2:13" ht="15.75" thickBot="1" x14ac:dyDescent="0.3">
      <c r="B56" s="216"/>
      <c r="C56" s="2" t="s">
        <v>154</v>
      </c>
      <c r="D56" s="40" t="s">
        <v>1039</v>
      </c>
      <c r="E56" s="30"/>
      <c r="F56" s="30"/>
      <c r="G56" s="30"/>
      <c r="H56" s="30"/>
      <c r="I56" s="30"/>
      <c r="J56" s="30"/>
      <c r="K56" s="30"/>
      <c r="L56" s="328"/>
      <c r="M56" s="11"/>
    </row>
    <row r="57" spans="2:13" ht="24.75" thickBot="1" x14ac:dyDescent="0.3">
      <c r="B57" s="216"/>
      <c r="C57" s="2" t="s">
        <v>156</v>
      </c>
      <c r="D57" s="40" t="s">
        <v>1040</v>
      </c>
      <c r="E57" s="329"/>
      <c r="F57" s="329"/>
      <c r="G57" s="329"/>
      <c r="H57" s="329"/>
      <c r="I57" s="329"/>
      <c r="J57" s="329"/>
      <c r="K57" s="329"/>
      <c r="L57" s="329"/>
      <c r="M57" s="11"/>
    </row>
    <row r="58" spans="2:13" ht="24.75" thickBot="1" x14ac:dyDescent="0.3">
      <c r="B58" s="216"/>
      <c r="C58" s="2" t="s">
        <v>258</v>
      </c>
      <c r="D58" s="40" t="s">
        <v>1041</v>
      </c>
      <c r="E58" s="329"/>
      <c r="F58" s="329"/>
      <c r="G58" s="329"/>
      <c r="H58" s="329"/>
      <c r="I58" s="329"/>
      <c r="J58" s="329"/>
      <c r="K58" s="329"/>
      <c r="L58" s="329"/>
      <c r="M58" s="11"/>
    </row>
    <row r="59" spans="2:13" ht="24.75" thickBot="1" x14ac:dyDescent="0.3">
      <c r="B59" s="216"/>
      <c r="C59" s="1093" t="s">
        <v>260</v>
      </c>
      <c r="D59" s="45" t="s">
        <v>1042</v>
      </c>
      <c r="E59" s="146" t="str">
        <f t="shared" ref="E59:L59" si="4">IFERROR(E58/E57,"N.A.")</f>
        <v>N.A.</v>
      </c>
      <c r="F59" s="146" t="str">
        <f t="shared" si="4"/>
        <v>N.A.</v>
      </c>
      <c r="G59" s="146" t="str">
        <f t="shared" si="4"/>
        <v>N.A.</v>
      </c>
      <c r="H59" s="146" t="str">
        <f t="shared" si="4"/>
        <v>N.A.</v>
      </c>
      <c r="I59" s="146" t="str">
        <f t="shared" si="4"/>
        <v>N.A.</v>
      </c>
      <c r="J59" s="146" t="str">
        <f t="shared" si="4"/>
        <v>N.A.</v>
      </c>
      <c r="K59" s="146" t="str">
        <f t="shared" si="4"/>
        <v>N.A.</v>
      </c>
      <c r="L59" s="146" t="str">
        <f t="shared" si="4"/>
        <v>N.A.</v>
      </c>
      <c r="M59" s="11"/>
    </row>
    <row r="60" spans="2:13" ht="24.75" thickBot="1" x14ac:dyDescent="0.3">
      <c r="B60" s="216"/>
      <c r="C60" s="1094"/>
      <c r="D60" s="40" t="s">
        <v>1059</v>
      </c>
      <c r="E60" s="147" t="str">
        <f>+IF(E59="N.A.","N.A.",IF(E59&gt;=75%,1,0))</f>
        <v>N.A.</v>
      </c>
      <c r="F60" s="147" t="str">
        <f t="shared" ref="F60:L60" si="5">+IF(F59="N.A.","N.A.",IF(F59&gt;=75%,1,0))</f>
        <v>N.A.</v>
      </c>
      <c r="G60" s="147" t="str">
        <f t="shared" si="5"/>
        <v>N.A.</v>
      </c>
      <c r="H60" s="147" t="str">
        <f t="shared" si="5"/>
        <v>N.A.</v>
      </c>
      <c r="I60" s="147" t="str">
        <f t="shared" si="5"/>
        <v>N.A.</v>
      </c>
      <c r="J60" s="147" t="str">
        <f t="shared" si="5"/>
        <v>N.A.</v>
      </c>
      <c r="K60" s="147" t="str">
        <f t="shared" si="5"/>
        <v>N.A.</v>
      </c>
      <c r="L60" s="147" t="str">
        <f t="shared" si="5"/>
        <v>N.A.</v>
      </c>
      <c r="M60" s="11"/>
    </row>
    <row r="61" spans="2:13" ht="15.75" thickBot="1" x14ac:dyDescent="0.3">
      <c r="B61" s="216"/>
      <c r="C61" s="2" t="s">
        <v>262</v>
      </c>
      <c r="D61" s="40" t="s">
        <v>1044</v>
      </c>
      <c r="E61" s="29"/>
      <c r="F61" s="30"/>
      <c r="G61" s="30"/>
      <c r="H61" s="30"/>
      <c r="I61" s="30"/>
      <c r="J61" s="30"/>
      <c r="K61" s="30"/>
      <c r="L61" s="328"/>
      <c r="M61" s="12"/>
    </row>
    <row r="62" spans="2:13" x14ac:dyDescent="0.25">
      <c r="B62" s="216"/>
      <c r="C62" s="90"/>
      <c r="D62" s="1036"/>
      <c r="E62" s="1037"/>
      <c r="F62" s="1037"/>
      <c r="G62" s="1037"/>
      <c r="H62" s="1037"/>
      <c r="I62" s="1037"/>
      <c r="J62" s="1037"/>
      <c r="K62" s="1037"/>
      <c r="L62" s="1152"/>
      <c r="M62" s="1133"/>
    </row>
    <row r="63" spans="2:13" ht="15.75" thickBot="1" x14ac:dyDescent="0.3">
      <c r="B63" s="216"/>
      <c r="C63" s="90"/>
      <c r="D63" s="1027" t="s">
        <v>1045</v>
      </c>
      <c r="E63" s="1028"/>
      <c r="F63" s="1028"/>
      <c r="G63" s="1028"/>
      <c r="H63" s="1028"/>
      <c r="I63" s="1028"/>
      <c r="J63" s="1028"/>
      <c r="K63" s="1028"/>
      <c r="L63" s="1145"/>
      <c r="M63" s="1118"/>
    </row>
    <row r="64" spans="2:13" ht="15.75" thickBot="1" x14ac:dyDescent="0.3">
      <c r="B64" s="216"/>
      <c r="C64" s="96" t="s">
        <v>19</v>
      </c>
      <c r="D64" s="42" t="s">
        <v>1046</v>
      </c>
      <c r="E64" s="42">
        <v>1</v>
      </c>
      <c r="F64" s="42">
        <v>2</v>
      </c>
      <c r="G64" s="42">
        <v>3</v>
      </c>
      <c r="H64" s="42" t="s">
        <v>151</v>
      </c>
      <c r="I64" s="5"/>
      <c r="J64" s="5"/>
      <c r="K64" s="5"/>
      <c r="M64" s="13"/>
    </row>
    <row r="65" spans="2:13" ht="15.75" thickBot="1" x14ac:dyDescent="0.3">
      <c r="B65" s="216"/>
      <c r="C65" s="2" t="s">
        <v>264</v>
      </c>
      <c r="D65" s="40" t="s">
        <v>1047</v>
      </c>
      <c r="E65" s="39" t="s">
        <v>1048</v>
      </c>
      <c r="F65" s="39" t="s">
        <v>1049</v>
      </c>
      <c r="G65" s="39" t="s">
        <v>1050</v>
      </c>
      <c r="H65" s="148">
        <f>MAX(E64:G64)</f>
        <v>3</v>
      </c>
      <c r="I65" s="5"/>
      <c r="J65" s="5"/>
      <c r="K65" s="5"/>
      <c r="M65" s="13"/>
    </row>
    <row r="66" spans="2:13" ht="15.75" thickBot="1" x14ac:dyDescent="0.3">
      <c r="B66" s="216"/>
      <c r="C66" s="2" t="s">
        <v>266</v>
      </c>
      <c r="D66" s="40" t="s">
        <v>1051</v>
      </c>
      <c r="E66" s="6"/>
      <c r="F66" s="6"/>
      <c r="G66" s="6"/>
      <c r="H66" s="149">
        <f>SUM(E66:G66)</f>
        <v>0</v>
      </c>
      <c r="I66" s="5"/>
      <c r="J66" s="5"/>
      <c r="K66" s="5"/>
      <c r="M66" s="13"/>
    </row>
    <row r="67" spans="2:13" ht="36.75" thickBot="1" x14ac:dyDescent="0.3">
      <c r="B67" s="216"/>
      <c r="C67" s="2" t="s">
        <v>268</v>
      </c>
      <c r="D67" s="40" t="s">
        <v>1060</v>
      </c>
      <c r="E67" s="6"/>
      <c r="F67" s="6"/>
      <c r="G67" s="6"/>
      <c r="H67" s="149">
        <f>SUM(E67:G67)</f>
        <v>0</v>
      </c>
      <c r="I67" s="5"/>
      <c r="J67" s="5"/>
      <c r="K67" s="5"/>
      <c r="M67" s="13"/>
    </row>
    <row r="68" spans="2:13" ht="24.75" thickBot="1" x14ac:dyDescent="0.3">
      <c r="B68" s="216"/>
      <c r="C68" s="1093" t="s">
        <v>1053</v>
      </c>
      <c r="D68" s="45" t="s">
        <v>1054</v>
      </c>
      <c r="E68" s="146" t="e">
        <f>+E67/E66</f>
        <v>#DIV/0!</v>
      </c>
      <c r="F68" s="146" t="e">
        <f>+F67/F66</f>
        <v>#DIV/0!</v>
      </c>
      <c r="G68" s="146" t="e">
        <f>+G67/G66</f>
        <v>#DIV/0!</v>
      </c>
      <c r="H68" s="150"/>
      <c r="I68" s="5"/>
      <c r="J68" s="5"/>
      <c r="K68" s="5"/>
      <c r="M68" s="13"/>
    </row>
    <row r="69" spans="2:13" ht="24.75" thickBot="1" x14ac:dyDescent="0.3">
      <c r="B69" s="216"/>
      <c r="C69" s="1094"/>
      <c r="D69" s="40" t="s">
        <v>1055</v>
      </c>
      <c r="E69" s="147" t="e">
        <f>+IF(E68&gt;=75%,1,0)</f>
        <v>#DIV/0!</v>
      </c>
      <c r="F69" s="147" t="e">
        <f>+IF(F68&gt;=75%,1,0)</f>
        <v>#DIV/0!</v>
      </c>
      <c r="G69" s="147" t="e">
        <f>+IF(G68&gt;=75%,1,0)</f>
        <v>#DIV/0!</v>
      </c>
      <c r="H69" s="149" t="e">
        <f>SUM(E69:G69)</f>
        <v>#DIV/0!</v>
      </c>
      <c r="I69" s="5"/>
      <c r="J69" s="5"/>
      <c r="K69" s="5"/>
      <c r="M69" s="13"/>
    </row>
    <row r="70" spans="2:13" ht="15.75" thickBot="1" x14ac:dyDescent="0.3">
      <c r="B70" s="216"/>
      <c r="C70" s="2" t="s">
        <v>1056</v>
      </c>
      <c r="D70" s="1048" t="s">
        <v>1057</v>
      </c>
      <c r="E70" s="1049"/>
      <c r="F70" s="1049"/>
      <c r="G70" s="1050"/>
      <c r="H70" s="151" t="str">
        <f>IFERROR(H69/H65,"N.A.")</f>
        <v>N.A.</v>
      </c>
      <c r="I70" s="5"/>
      <c r="J70" s="5"/>
      <c r="K70" s="5"/>
      <c r="M70" s="13"/>
    </row>
    <row r="71" spans="2:13" x14ac:dyDescent="0.25">
      <c r="B71" s="216"/>
      <c r="C71" s="90"/>
      <c r="D71" s="1027"/>
      <c r="E71" s="1028"/>
      <c r="F71" s="1028"/>
      <c r="G71" s="1028"/>
      <c r="H71" s="1028"/>
      <c r="I71" s="1028"/>
      <c r="J71" s="1028"/>
      <c r="K71" s="1028"/>
      <c r="L71" s="1145"/>
      <c r="M71" s="1118"/>
    </row>
    <row r="72" spans="2:13" ht="15.75" thickBot="1" x14ac:dyDescent="0.3">
      <c r="B72" s="216"/>
      <c r="C72" s="90"/>
      <c r="D72" s="1039" t="s">
        <v>1061</v>
      </c>
      <c r="E72" s="1040"/>
      <c r="F72" s="1040"/>
      <c r="G72" s="1040"/>
      <c r="H72" s="1040"/>
      <c r="I72" s="1040"/>
      <c r="J72" s="1040"/>
      <c r="K72" s="1040"/>
      <c r="L72" s="1144"/>
      <c r="M72" s="1119"/>
    </row>
    <row r="73" spans="2:13" ht="15.75" thickBot="1" x14ac:dyDescent="0.3">
      <c r="B73" s="216"/>
      <c r="C73" s="96" t="s">
        <v>1062</v>
      </c>
      <c r="D73" s="38" t="s">
        <v>1063</v>
      </c>
      <c r="E73" s="152">
        <f>+H48</f>
        <v>1</v>
      </c>
      <c r="F73" s="5"/>
      <c r="G73" s="5"/>
      <c r="H73" s="5"/>
      <c r="I73" s="5"/>
      <c r="J73" s="5"/>
      <c r="K73" s="5"/>
      <c r="M73" s="13"/>
    </row>
    <row r="74" spans="2:13" ht="15.75" thickBot="1" x14ac:dyDescent="0.3">
      <c r="B74" s="216"/>
      <c r="C74" s="2" t="s">
        <v>1064</v>
      </c>
      <c r="D74" s="39" t="s">
        <v>1065</v>
      </c>
      <c r="E74" s="153" t="str">
        <f>+H70</f>
        <v>N.A.</v>
      </c>
      <c r="F74" s="5"/>
      <c r="G74" s="5"/>
      <c r="H74" s="5"/>
      <c r="I74" s="5"/>
      <c r="J74" s="5"/>
      <c r="K74" s="5"/>
      <c r="M74" s="13"/>
    </row>
    <row r="75" spans="2:13" ht="36.75" thickBot="1" x14ac:dyDescent="0.3">
      <c r="B75" s="216"/>
      <c r="C75" s="2" t="s">
        <v>19</v>
      </c>
      <c r="D75" s="40" t="s">
        <v>1066</v>
      </c>
      <c r="E75" s="153">
        <f>AVERAGE(E73:E74)</f>
        <v>1</v>
      </c>
      <c r="F75" s="5"/>
      <c r="G75" s="5"/>
      <c r="H75" s="5"/>
      <c r="I75" s="5"/>
      <c r="J75" s="5"/>
      <c r="K75" s="5"/>
      <c r="M75" s="13"/>
    </row>
    <row r="76" spans="2:13" x14ac:dyDescent="0.25">
      <c r="B76" s="216"/>
      <c r="C76" s="90"/>
      <c r="D76" s="1027"/>
      <c r="E76" s="1028"/>
      <c r="F76" s="1028"/>
      <c r="G76" s="1028"/>
      <c r="H76" s="1028"/>
      <c r="I76" s="1028"/>
      <c r="J76" s="1028"/>
      <c r="K76" s="1028"/>
      <c r="L76" s="1145"/>
      <c r="M76" s="1118"/>
    </row>
    <row r="77" spans="2:13" ht="15.75" thickBot="1" x14ac:dyDescent="0.3">
      <c r="B77" s="216"/>
      <c r="C77" s="90"/>
      <c r="D77" s="1039" t="s">
        <v>1067</v>
      </c>
      <c r="E77" s="1040"/>
      <c r="F77" s="1040"/>
      <c r="G77" s="1040"/>
      <c r="H77" s="1040"/>
      <c r="I77" s="1040"/>
      <c r="J77" s="1040"/>
      <c r="K77" s="1040"/>
      <c r="L77" s="1144"/>
      <c r="M77" s="1119"/>
    </row>
    <row r="78" spans="2:13" ht="15.75" thickBot="1" x14ac:dyDescent="0.3">
      <c r="B78" s="216"/>
      <c r="C78" s="92"/>
      <c r="D78" s="24"/>
      <c r="E78" s="38" t="s">
        <v>1068</v>
      </c>
      <c r="F78" s="38" t="s">
        <v>1069</v>
      </c>
      <c r="H78" s="5"/>
      <c r="I78" s="5"/>
      <c r="J78" s="5"/>
      <c r="K78" s="5"/>
      <c r="M78" s="13"/>
    </row>
    <row r="79" spans="2:13" ht="24.75" thickBot="1" x14ac:dyDescent="0.3">
      <c r="B79" s="216"/>
      <c r="C79" s="92"/>
      <c r="D79" s="40" t="s">
        <v>1070</v>
      </c>
      <c r="E79" s="140">
        <f>+E25</f>
        <v>0</v>
      </c>
      <c r="F79" s="31">
        <v>0</v>
      </c>
      <c r="G79" s="5"/>
      <c r="H79" s="5"/>
      <c r="I79" s="5"/>
      <c r="J79" s="5"/>
      <c r="K79" s="5"/>
      <c r="M79" s="13"/>
    </row>
    <row r="80" spans="2:13" ht="24.75" thickBot="1" x14ac:dyDescent="0.3">
      <c r="B80" s="216"/>
      <c r="C80" s="92"/>
      <c r="D80" s="40" t="s">
        <v>1071</v>
      </c>
      <c r="E80" s="140">
        <f>+E75</f>
        <v>1</v>
      </c>
      <c r="F80" s="31">
        <v>1</v>
      </c>
      <c r="G80" s="5"/>
      <c r="H80" s="5"/>
      <c r="I80" s="5"/>
      <c r="J80" s="5"/>
      <c r="K80" s="5"/>
      <c r="M80" s="13"/>
    </row>
    <row r="81" spans="2:13" ht="24.75" thickBot="1" x14ac:dyDescent="0.3">
      <c r="B81" s="46"/>
      <c r="C81" s="2"/>
      <c r="D81" s="40" t="s">
        <v>1001</v>
      </c>
      <c r="E81" s="203" t="str">
        <f>Formulas!$D$29</f>
        <v/>
      </c>
      <c r="F81" s="195">
        <f>IFERROR(Formulas!$E$29,0)</f>
        <v>1</v>
      </c>
      <c r="G81" s="22"/>
      <c r="H81" s="22"/>
      <c r="I81" s="22"/>
      <c r="J81" s="22"/>
      <c r="K81" s="22"/>
      <c r="L81" s="14"/>
      <c r="M81" s="10"/>
    </row>
    <row r="82" spans="2:13" ht="24" customHeight="1" thickBot="1" x14ac:dyDescent="0.3">
      <c r="B82" s="46" t="s">
        <v>34</v>
      </c>
      <c r="C82" s="91"/>
      <c r="D82" s="1048" t="s">
        <v>1072</v>
      </c>
      <c r="E82" s="1049"/>
      <c r="F82" s="1049"/>
      <c r="G82" s="1049"/>
      <c r="H82" s="1049"/>
      <c r="I82" s="1049"/>
      <c r="J82" s="1049"/>
      <c r="K82" s="1049"/>
      <c r="L82" s="1143"/>
      <c r="M82" s="1117"/>
    </row>
    <row r="83" spans="2:13" ht="48.75" thickBot="1" x14ac:dyDescent="0.3">
      <c r="B83" s="46" t="s">
        <v>36</v>
      </c>
      <c r="C83" s="91"/>
      <c r="D83" s="1048" t="s">
        <v>159</v>
      </c>
      <c r="E83" s="1049"/>
      <c r="F83" s="1049"/>
      <c r="G83" s="1049"/>
      <c r="H83" s="1049"/>
      <c r="I83" s="1049"/>
      <c r="J83" s="1049"/>
      <c r="K83" s="1049"/>
      <c r="L83" s="1143"/>
      <c r="M83" s="1117"/>
    </row>
    <row r="84" spans="2:13" ht="15.75" thickBot="1" x14ac:dyDescent="0.3">
      <c r="B84" s="1"/>
      <c r="C84" s="74"/>
      <c r="D84" s="5"/>
      <c r="E84" s="5"/>
      <c r="F84" s="5"/>
      <c r="G84" s="5"/>
      <c r="H84" s="5"/>
      <c r="I84" s="5"/>
      <c r="J84" s="5"/>
      <c r="K84" s="5"/>
    </row>
    <row r="85" spans="2:13" ht="24" customHeight="1" thickBot="1" x14ac:dyDescent="0.3">
      <c r="B85" s="1054" t="s">
        <v>38</v>
      </c>
      <c r="C85" s="1055"/>
      <c r="D85" s="1055"/>
      <c r="E85" s="1056"/>
      <c r="F85" s="5"/>
      <c r="G85" s="5"/>
      <c r="H85" s="5"/>
      <c r="I85" s="5"/>
      <c r="J85" s="5"/>
      <c r="K85" s="5"/>
    </row>
    <row r="86" spans="2:13" ht="15.75" thickBot="1" x14ac:dyDescent="0.3">
      <c r="B86" s="1045">
        <v>1</v>
      </c>
      <c r="C86" s="92"/>
      <c r="D86" s="47" t="s">
        <v>39</v>
      </c>
      <c r="E86" s="158" t="s">
        <v>1771</v>
      </c>
      <c r="F86" s="5"/>
      <c r="G86" s="5"/>
      <c r="H86" s="5"/>
      <c r="I86" s="5"/>
      <c r="J86" s="5"/>
      <c r="K86" s="5"/>
    </row>
    <row r="87" spans="2:13" ht="15.75" thickBot="1" x14ac:dyDescent="0.3">
      <c r="B87" s="1046"/>
      <c r="C87" s="92"/>
      <c r="D87" s="40" t="s">
        <v>40</v>
      </c>
      <c r="E87" s="158" t="s">
        <v>1784</v>
      </c>
      <c r="F87" s="5"/>
      <c r="G87" s="5"/>
      <c r="H87" s="5"/>
      <c r="I87" s="5"/>
      <c r="J87" s="5"/>
      <c r="K87" s="5"/>
    </row>
    <row r="88" spans="2:13" ht="15.75" thickBot="1" x14ac:dyDescent="0.3">
      <c r="B88" s="1046"/>
      <c r="C88" s="92"/>
      <c r="D88" s="40" t="s">
        <v>41</v>
      </c>
      <c r="E88" s="158" t="s">
        <v>1785</v>
      </c>
      <c r="F88" s="5"/>
      <c r="G88" s="5"/>
      <c r="H88" s="5"/>
      <c r="I88" s="5"/>
      <c r="J88" s="5"/>
      <c r="K88" s="5"/>
    </row>
    <row r="89" spans="2:13" ht="15.75" thickBot="1" x14ac:dyDescent="0.3">
      <c r="B89" s="1046"/>
      <c r="C89" s="92"/>
      <c r="D89" s="40" t="s">
        <v>42</v>
      </c>
      <c r="E89" s="158" t="s">
        <v>1494</v>
      </c>
      <c r="F89" s="5"/>
      <c r="G89" s="5"/>
      <c r="H89" s="5"/>
      <c r="I89" s="5"/>
      <c r="J89" s="5"/>
      <c r="K89" s="5"/>
    </row>
    <row r="90" spans="2:13" ht="15.75" thickBot="1" x14ac:dyDescent="0.3">
      <c r="B90" s="1046"/>
      <c r="C90" s="92"/>
      <c r="D90" s="40" t="s">
        <v>43</v>
      </c>
      <c r="E90" s="158" t="s">
        <v>1786</v>
      </c>
      <c r="F90" s="5"/>
      <c r="G90" s="5"/>
      <c r="H90" s="5"/>
      <c r="I90" s="5"/>
      <c r="J90" s="5"/>
      <c r="K90" s="5"/>
    </row>
    <row r="91" spans="2:13" ht="15.75" thickBot="1" x14ac:dyDescent="0.3">
      <c r="B91" s="1046"/>
      <c r="C91" s="92"/>
      <c r="D91" s="40" t="s">
        <v>44</v>
      </c>
      <c r="E91" s="158">
        <v>4380200</v>
      </c>
      <c r="F91" s="5"/>
      <c r="G91" s="5"/>
      <c r="H91" s="5"/>
      <c r="I91" s="5"/>
      <c r="J91" s="5"/>
      <c r="K91" s="5"/>
    </row>
    <row r="92" spans="2:13" ht="15.75" thickBot="1" x14ac:dyDescent="0.3">
      <c r="B92" s="1047"/>
      <c r="C92" s="2"/>
      <c r="D92" s="40" t="s">
        <v>45</v>
      </c>
      <c r="E92" s="158" t="s">
        <v>1773</v>
      </c>
      <c r="F92" s="5"/>
      <c r="G92" s="5"/>
      <c r="H92" s="5"/>
      <c r="I92" s="5"/>
      <c r="J92" s="5"/>
      <c r="K92" s="5"/>
    </row>
    <row r="93" spans="2:13" ht="15.75" thickBot="1" x14ac:dyDescent="0.3">
      <c r="B93" s="1"/>
      <c r="C93" s="74"/>
      <c r="D93" s="5"/>
      <c r="E93" s="5"/>
      <c r="F93" s="5"/>
      <c r="G93" s="5"/>
      <c r="H93" s="5"/>
      <c r="I93" s="5"/>
      <c r="J93" s="5"/>
      <c r="K93" s="5"/>
    </row>
    <row r="94" spans="2:13" ht="15.75" thickBot="1" x14ac:dyDescent="0.3">
      <c r="B94" s="1054" t="s">
        <v>46</v>
      </c>
      <c r="C94" s="1055"/>
      <c r="D94" s="1055"/>
      <c r="E94" s="1056"/>
      <c r="F94" s="5"/>
      <c r="G94" s="5"/>
      <c r="H94" s="5"/>
      <c r="I94" s="5"/>
      <c r="J94" s="5"/>
      <c r="K94" s="5"/>
    </row>
    <row r="95" spans="2:13" ht="15.75" thickBot="1" x14ac:dyDescent="0.3">
      <c r="B95" s="1045">
        <v>1</v>
      </c>
      <c r="C95" s="92"/>
      <c r="D95" s="47" t="s">
        <v>39</v>
      </c>
      <c r="E95" s="217" t="s">
        <v>47</v>
      </c>
      <c r="F95" s="5"/>
      <c r="G95" s="5"/>
      <c r="H95" s="5"/>
      <c r="I95" s="5"/>
      <c r="J95" s="5"/>
      <c r="K95" s="5"/>
    </row>
    <row r="96" spans="2:13" ht="15.75" thickBot="1" x14ac:dyDescent="0.3">
      <c r="B96" s="1046"/>
      <c r="C96" s="92"/>
      <c r="D96" s="40" t="s">
        <v>40</v>
      </c>
      <c r="E96" s="217" t="s">
        <v>160</v>
      </c>
      <c r="F96" s="5"/>
      <c r="G96" s="5"/>
      <c r="H96" s="5"/>
      <c r="I96" s="5"/>
      <c r="J96" s="5"/>
      <c r="K96" s="5"/>
    </row>
    <row r="97" spans="2:11" ht="15.75" thickBot="1" x14ac:dyDescent="0.3">
      <c r="B97" s="1046"/>
      <c r="C97" s="92"/>
      <c r="D97" s="40" t="s">
        <v>41</v>
      </c>
      <c r="E97" s="163"/>
      <c r="F97" s="5"/>
      <c r="G97" s="5"/>
      <c r="H97" s="5"/>
      <c r="I97" s="5"/>
      <c r="J97" s="5"/>
      <c r="K97" s="5"/>
    </row>
    <row r="98" spans="2:11" ht="15.75" thickBot="1" x14ac:dyDescent="0.3">
      <c r="B98" s="1046"/>
      <c r="C98" s="92"/>
      <c r="D98" s="40" t="s">
        <v>42</v>
      </c>
      <c r="E98" s="163"/>
      <c r="F98" s="5"/>
      <c r="G98" s="5"/>
      <c r="H98" s="5"/>
      <c r="I98" s="5"/>
      <c r="J98" s="5"/>
      <c r="K98" s="5"/>
    </row>
    <row r="99" spans="2:11" ht="15.75" thickBot="1" x14ac:dyDescent="0.3">
      <c r="B99" s="1046"/>
      <c r="C99" s="92"/>
      <c r="D99" s="40" t="s">
        <v>43</v>
      </c>
      <c r="E99" s="163"/>
      <c r="F99" s="5"/>
      <c r="G99" s="5"/>
      <c r="H99" s="5"/>
      <c r="I99" s="5"/>
      <c r="J99" s="5"/>
      <c r="K99" s="5"/>
    </row>
    <row r="100" spans="2:11" ht="15.75" thickBot="1" x14ac:dyDescent="0.3">
      <c r="B100" s="1046"/>
      <c r="C100" s="92"/>
      <c r="D100" s="40" t="s">
        <v>44</v>
      </c>
      <c r="E100" s="163"/>
      <c r="F100" s="5"/>
      <c r="G100" s="5"/>
      <c r="H100" s="5"/>
      <c r="I100" s="5"/>
      <c r="J100" s="5"/>
      <c r="K100" s="5"/>
    </row>
    <row r="101" spans="2:11" ht="15.75" thickBot="1" x14ac:dyDescent="0.3">
      <c r="B101" s="1047"/>
      <c r="C101" s="2"/>
      <c r="D101" s="40" t="s">
        <v>45</v>
      </c>
      <c r="E101" s="163"/>
      <c r="F101" s="5"/>
      <c r="G101" s="5"/>
      <c r="H101" s="5"/>
      <c r="I101" s="5"/>
      <c r="J101" s="5"/>
      <c r="K101" s="5"/>
    </row>
    <row r="102" spans="2:11" ht="15.75" thickBot="1" x14ac:dyDescent="0.3">
      <c r="B102" s="1"/>
      <c r="C102" s="74"/>
      <c r="D102" s="5"/>
      <c r="E102" s="5"/>
      <c r="F102" s="5"/>
      <c r="G102" s="5"/>
      <c r="H102" s="5"/>
      <c r="I102" s="5"/>
      <c r="J102" s="5"/>
      <c r="K102" s="5"/>
    </row>
    <row r="103" spans="2:11" ht="15" customHeight="1" thickBot="1" x14ac:dyDescent="0.3">
      <c r="B103" s="120" t="s">
        <v>49</v>
      </c>
      <c r="C103" s="121"/>
      <c r="D103" s="121"/>
      <c r="E103" s="122"/>
      <c r="G103" s="5"/>
      <c r="H103" s="5"/>
      <c r="I103" s="5"/>
      <c r="J103" s="5"/>
      <c r="K103" s="5"/>
    </row>
    <row r="104" spans="2:11" ht="24.75" thickBot="1" x14ac:dyDescent="0.3">
      <c r="B104" s="46" t="s">
        <v>50</v>
      </c>
      <c r="C104" s="40" t="s">
        <v>51</v>
      </c>
      <c r="D104" s="40" t="s">
        <v>52</v>
      </c>
      <c r="E104" s="40" t="s">
        <v>53</v>
      </c>
      <c r="F104" s="5"/>
      <c r="G104" s="5"/>
      <c r="H104" s="5"/>
      <c r="I104" s="5"/>
      <c r="J104" s="5"/>
    </row>
    <row r="105" spans="2:11" ht="72.75" thickBot="1" x14ac:dyDescent="0.3">
      <c r="B105" s="48">
        <v>42401</v>
      </c>
      <c r="C105" s="40">
        <v>1</v>
      </c>
      <c r="D105" s="49" t="s">
        <v>1073</v>
      </c>
      <c r="E105" s="40"/>
      <c r="F105" s="5"/>
      <c r="G105" s="5"/>
      <c r="H105" s="5"/>
      <c r="I105" s="5"/>
      <c r="J105" s="5"/>
    </row>
    <row r="106" spans="2:11" ht="15.75" thickBot="1" x14ac:dyDescent="0.3">
      <c r="B106" s="3"/>
      <c r="C106" s="93"/>
      <c r="D106" s="5"/>
      <c r="E106" s="5"/>
      <c r="F106" s="5"/>
      <c r="G106" s="5"/>
      <c r="H106" s="5"/>
      <c r="I106" s="5"/>
      <c r="J106" s="5"/>
      <c r="K106" s="5"/>
    </row>
    <row r="107" spans="2:11" ht="24.75" thickBot="1" x14ac:dyDescent="0.3">
      <c r="B107" s="127" t="s">
        <v>55</v>
      </c>
      <c r="C107" s="94"/>
      <c r="D107" s="5"/>
      <c r="E107" s="5"/>
      <c r="F107" s="5"/>
      <c r="G107" s="5"/>
      <c r="H107" s="5"/>
      <c r="I107" s="5"/>
      <c r="J107" s="5"/>
      <c r="K107" s="5"/>
    </row>
    <row r="108" spans="2:11" x14ac:dyDescent="0.25">
      <c r="B108" s="1199"/>
      <c r="C108" s="1200"/>
      <c r="D108" s="1200"/>
      <c r="E108" s="1200"/>
      <c r="F108" s="1200"/>
      <c r="G108" s="1200"/>
      <c r="H108" s="1200"/>
      <c r="I108" s="1201"/>
      <c r="J108" s="5"/>
      <c r="K108" s="5"/>
    </row>
    <row r="109" spans="2:11" ht="15.75" thickBot="1" x14ac:dyDescent="0.3">
      <c r="B109" s="1202"/>
      <c r="C109" s="1203"/>
      <c r="D109" s="1203"/>
      <c r="E109" s="1203"/>
      <c r="F109" s="1203"/>
      <c r="G109" s="1203"/>
      <c r="H109" s="1203"/>
      <c r="I109" s="1204"/>
      <c r="J109" s="5"/>
      <c r="K109" s="5"/>
    </row>
    <row r="110" spans="2:11" ht="15.75" thickBot="1" x14ac:dyDescent="0.3">
      <c r="B110" s="5"/>
      <c r="D110" s="5"/>
      <c r="E110" s="5"/>
      <c r="F110" s="5"/>
      <c r="G110" s="5"/>
      <c r="H110" s="5"/>
      <c r="I110" s="5"/>
      <c r="J110" s="5"/>
      <c r="K110" s="5"/>
    </row>
    <row r="111" spans="2:11" ht="24.75" thickBot="1" x14ac:dyDescent="0.3">
      <c r="B111" s="50" t="s">
        <v>56</v>
      </c>
      <c r="C111" s="95"/>
      <c r="D111" s="5"/>
      <c r="E111" s="5"/>
      <c r="F111" s="5"/>
      <c r="G111" s="5"/>
      <c r="H111" s="5"/>
      <c r="I111" s="5"/>
      <c r="J111" s="5"/>
      <c r="K111" s="5"/>
    </row>
    <row r="112" spans="2:11" ht="15.75" thickBot="1" x14ac:dyDescent="0.3">
      <c r="B112" s="1"/>
      <c r="C112" s="74"/>
      <c r="D112" s="5"/>
      <c r="E112" s="5"/>
      <c r="F112" s="5"/>
      <c r="G112" s="5"/>
      <c r="H112" s="5"/>
      <c r="I112" s="5"/>
      <c r="J112" s="5"/>
      <c r="K112" s="5"/>
    </row>
    <row r="113" spans="2:11" ht="72.75" thickBot="1" x14ac:dyDescent="0.3">
      <c r="B113" s="51" t="s">
        <v>57</v>
      </c>
      <c r="C113" s="96"/>
      <c r="D113" s="42" t="s">
        <v>1002</v>
      </c>
      <c r="E113" s="5"/>
      <c r="F113" s="5"/>
      <c r="G113" s="5"/>
      <c r="H113" s="5"/>
      <c r="I113" s="5"/>
      <c r="J113" s="5"/>
      <c r="K113" s="5"/>
    </row>
    <row r="114" spans="2:11" x14ac:dyDescent="0.25">
      <c r="B114" s="1045" t="s">
        <v>59</v>
      </c>
      <c r="C114" s="92"/>
      <c r="D114" s="52" t="s">
        <v>60</v>
      </c>
      <c r="E114" s="5"/>
      <c r="F114" s="5"/>
      <c r="G114" s="5"/>
      <c r="H114" s="5"/>
      <c r="I114" s="5"/>
      <c r="J114" s="5"/>
      <c r="K114" s="5"/>
    </row>
    <row r="115" spans="2:11" ht="108" x14ac:dyDescent="0.25">
      <c r="B115" s="1046"/>
      <c r="C115" s="92"/>
      <c r="D115" s="45" t="s">
        <v>1003</v>
      </c>
      <c r="E115" s="5"/>
      <c r="F115" s="5"/>
      <c r="G115" s="5"/>
      <c r="H115" s="5"/>
      <c r="I115" s="5"/>
      <c r="J115" s="5"/>
      <c r="K115" s="5"/>
    </row>
    <row r="116" spans="2:11" x14ac:dyDescent="0.25">
      <c r="B116" s="1046"/>
      <c r="C116" s="92"/>
      <c r="D116" s="52" t="s">
        <v>134</v>
      </c>
      <c r="E116" s="5"/>
      <c r="F116" s="5"/>
      <c r="G116" s="5"/>
      <c r="H116" s="5"/>
      <c r="I116" s="5"/>
      <c r="J116" s="5"/>
      <c r="K116" s="5"/>
    </row>
    <row r="117" spans="2:11" x14ac:dyDescent="0.25">
      <c r="B117" s="1046"/>
      <c r="C117" s="92"/>
      <c r="D117" s="45" t="s">
        <v>1004</v>
      </c>
      <c r="E117" s="5"/>
      <c r="F117" s="5"/>
      <c r="G117" s="5"/>
      <c r="H117" s="5"/>
      <c r="I117" s="5"/>
      <c r="J117" s="5"/>
      <c r="K117" s="5"/>
    </row>
    <row r="118" spans="2:11" ht="48" x14ac:dyDescent="0.25">
      <c r="B118" s="1046"/>
      <c r="C118" s="92"/>
      <c r="D118" s="45" t="s">
        <v>1005</v>
      </c>
      <c r="E118" s="5"/>
      <c r="F118" s="5"/>
      <c r="G118" s="5"/>
      <c r="H118" s="5"/>
      <c r="I118" s="5"/>
      <c r="J118" s="5"/>
      <c r="K118" s="5"/>
    </row>
    <row r="119" spans="2:11" x14ac:dyDescent="0.25">
      <c r="B119" s="1046"/>
      <c r="C119" s="92"/>
      <c r="D119" s="54" t="s">
        <v>1006</v>
      </c>
      <c r="E119" s="5"/>
      <c r="F119" s="5"/>
      <c r="G119" s="5"/>
      <c r="H119" s="5"/>
      <c r="I119" s="5"/>
      <c r="J119" s="5"/>
      <c r="K119" s="5"/>
    </row>
    <row r="120" spans="2:11" ht="15.75" thickBot="1" x14ac:dyDescent="0.3">
      <c r="B120" s="1047"/>
      <c r="C120" s="2"/>
      <c r="D120" s="55" t="s">
        <v>1007</v>
      </c>
      <c r="E120" s="5"/>
      <c r="F120" s="5"/>
      <c r="G120" s="5"/>
      <c r="H120" s="5"/>
      <c r="I120" s="5"/>
      <c r="J120" s="5"/>
      <c r="K120" s="5"/>
    </row>
    <row r="121" spans="2:11" ht="24.75" thickBot="1" x14ac:dyDescent="0.3">
      <c r="B121" s="46" t="s">
        <v>72</v>
      </c>
      <c r="C121" s="2"/>
      <c r="D121" s="40"/>
      <c r="E121" s="5"/>
      <c r="F121" s="5"/>
      <c r="G121" s="5"/>
      <c r="H121" s="5"/>
      <c r="I121" s="5"/>
      <c r="J121" s="5"/>
      <c r="K121" s="5"/>
    </row>
    <row r="122" spans="2:11" ht="72" x14ac:dyDescent="0.25">
      <c r="B122" s="1045" t="s">
        <v>73</v>
      </c>
      <c r="C122" s="92"/>
      <c r="D122" s="45" t="s">
        <v>1008</v>
      </c>
      <c r="E122" s="5"/>
      <c r="F122" s="5"/>
      <c r="G122" s="5"/>
      <c r="H122" s="5"/>
      <c r="I122" s="5"/>
      <c r="J122" s="5"/>
      <c r="K122" s="5"/>
    </row>
    <row r="123" spans="2:11" ht="228" x14ac:dyDescent="0.25">
      <c r="B123" s="1046"/>
      <c r="C123" s="92"/>
      <c r="D123" s="45" t="s">
        <v>1009</v>
      </c>
      <c r="E123" s="5"/>
      <c r="F123" s="5"/>
      <c r="G123" s="5"/>
      <c r="H123" s="5"/>
      <c r="I123" s="5"/>
      <c r="J123" s="5"/>
      <c r="K123" s="5"/>
    </row>
    <row r="124" spans="2:11" ht="84" x14ac:dyDescent="0.25">
      <c r="B124" s="1046"/>
      <c r="C124" s="92"/>
      <c r="D124" s="45" t="s">
        <v>1010</v>
      </c>
      <c r="E124" s="5"/>
      <c r="F124" s="5"/>
      <c r="G124" s="5"/>
      <c r="H124" s="5"/>
      <c r="I124" s="5"/>
      <c r="J124" s="5"/>
      <c r="K124" s="5"/>
    </row>
    <row r="125" spans="2:11" ht="216.75" thickBot="1" x14ac:dyDescent="0.3">
      <c r="B125" s="1047"/>
      <c r="C125" s="2"/>
      <c r="D125" s="40" t="s">
        <v>1011</v>
      </c>
      <c r="E125" s="5"/>
      <c r="F125" s="5"/>
      <c r="G125" s="5"/>
      <c r="H125" s="5"/>
      <c r="I125" s="5"/>
      <c r="J125" s="5"/>
      <c r="K125" s="5"/>
    </row>
    <row r="126" spans="2:11" x14ac:dyDescent="0.25">
      <c r="B126" s="1045" t="s">
        <v>90</v>
      </c>
      <c r="C126" s="92"/>
      <c r="D126" s="45"/>
      <c r="E126" s="5"/>
      <c r="F126" s="5"/>
      <c r="G126" s="5"/>
      <c r="H126" s="5"/>
      <c r="I126" s="5"/>
      <c r="J126" s="5"/>
      <c r="K126" s="5"/>
    </row>
    <row r="127" spans="2:11" x14ac:dyDescent="0.25">
      <c r="B127" s="1046"/>
      <c r="C127" s="92"/>
      <c r="D127" s="16"/>
      <c r="E127" s="5"/>
      <c r="F127" s="5"/>
      <c r="G127" s="5"/>
      <c r="H127" s="5"/>
      <c r="I127" s="5"/>
      <c r="J127" s="5"/>
      <c r="K127" s="5"/>
    </row>
    <row r="128" spans="2:11" x14ac:dyDescent="0.25">
      <c r="B128" s="1046"/>
      <c r="C128" s="92"/>
      <c r="D128" s="45" t="s">
        <v>91</v>
      </c>
      <c r="E128" s="5"/>
      <c r="F128" s="5"/>
      <c r="G128" s="5"/>
      <c r="H128" s="5"/>
      <c r="I128" s="5"/>
      <c r="J128" s="5"/>
      <c r="K128" s="5"/>
    </row>
    <row r="129" spans="2:11" ht="37.5" x14ac:dyDescent="0.25">
      <c r="B129" s="1046"/>
      <c r="C129" s="92"/>
      <c r="D129" s="45" t="s">
        <v>1012</v>
      </c>
      <c r="E129" s="5"/>
      <c r="F129" s="5"/>
      <c r="G129" s="5"/>
      <c r="H129" s="5"/>
      <c r="I129" s="5"/>
      <c r="J129" s="5"/>
      <c r="K129" s="5"/>
    </row>
    <row r="130" spans="2:11" ht="37.5" x14ac:dyDescent="0.25">
      <c r="B130" s="1046"/>
      <c r="C130" s="92"/>
      <c r="D130" s="45" t="s">
        <v>1013</v>
      </c>
      <c r="E130" s="5"/>
      <c r="F130" s="5"/>
      <c r="G130" s="5"/>
      <c r="H130" s="5"/>
      <c r="I130" s="5"/>
      <c r="J130" s="5"/>
      <c r="K130" s="5"/>
    </row>
    <row r="131" spans="2:11" ht="37.5" x14ac:dyDescent="0.25">
      <c r="B131" s="1046"/>
      <c r="C131" s="92"/>
      <c r="D131" s="45" t="s">
        <v>1014</v>
      </c>
      <c r="E131" s="5"/>
      <c r="F131" s="5"/>
      <c r="G131" s="5"/>
      <c r="H131" s="5"/>
      <c r="I131" s="5"/>
      <c r="J131" s="5"/>
      <c r="K131" s="5"/>
    </row>
    <row r="132" spans="2:11" ht="37.5" x14ac:dyDescent="0.25">
      <c r="B132" s="1046"/>
      <c r="C132" s="92"/>
      <c r="D132" s="45" t="s">
        <v>1015</v>
      </c>
      <c r="E132" s="5"/>
      <c r="F132" s="5"/>
      <c r="G132" s="5"/>
      <c r="H132" s="5"/>
      <c r="I132" s="5"/>
      <c r="J132" s="5"/>
      <c r="K132" s="5"/>
    </row>
    <row r="133" spans="2:11" x14ac:dyDescent="0.25">
      <c r="B133" s="1046"/>
      <c r="C133" s="92"/>
      <c r="D133" s="45" t="s">
        <v>1016</v>
      </c>
      <c r="E133" s="5"/>
      <c r="F133" s="5"/>
      <c r="G133" s="5"/>
      <c r="H133" s="5"/>
      <c r="I133" s="5"/>
      <c r="J133" s="5"/>
      <c r="K133" s="5"/>
    </row>
    <row r="134" spans="2:11" x14ac:dyDescent="0.25">
      <c r="B134" s="1046"/>
      <c r="C134" s="92"/>
      <c r="D134" s="45" t="s">
        <v>1017</v>
      </c>
      <c r="E134" s="5"/>
      <c r="F134" s="5"/>
      <c r="G134" s="5"/>
      <c r="H134" s="5"/>
      <c r="I134" s="5"/>
      <c r="J134" s="5"/>
      <c r="K134" s="5"/>
    </row>
    <row r="135" spans="2:11" x14ac:dyDescent="0.25">
      <c r="B135" s="1046"/>
      <c r="C135" s="92"/>
      <c r="D135" s="45" t="s">
        <v>1018</v>
      </c>
      <c r="E135" s="5"/>
      <c r="F135" s="5"/>
      <c r="G135" s="5"/>
      <c r="H135" s="5"/>
      <c r="I135" s="5"/>
      <c r="J135" s="5"/>
      <c r="K135" s="5"/>
    </row>
    <row r="136" spans="2:11" x14ac:dyDescent="0.25">
      <c r="B136" s="1046"/>
      <c r="C136" s="92"/>
      <c r="D136" s="45" t="s">
        <v>99</v>
      </c>
      <c r="E136" s="5"/>
      <c r="F136" s="5"/>
      <c r="G136" s="5"/>
      <c r="H136" s="5"/>
      <c r="I136" s="5"/>
      <c r="J136" s="5"/>
      <c r="K136" s="5"/>
    </row>
    <row r="137" spans="2:11" ht="60.75" thickBot="1" x14ac:dyDescent="0.3">
      <c r="B137" s="1047"/>
      <c r="C137" s="2"/>
      <c r="D137" s="40" t="s">
        <v>1019</v>
      </c>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sheetData>
  <sheetProtection insertColumns="0" insertRows="0"/>
  <mergeCells count="48">
    <mergeCell ref="A1:P1"/>
    <mergeCell ref="A2:P2"/>
    <mergeCell ref="A3:P3"/>
    <mergeCell ref="A4:D4"/>
    <mergeCell ref="A5:P5"/>
    <mergeCell ref="B10:D10"/>
    <mergeCell ref="F10:S10"/>
    <mergeCell ref="F11:S11"/>
    <mergeCell ref="E12:R12"/>
    <mergeCell ref="E13:R13"/>
    <mergeCell ref="D76:M76"/>
    <mergeCell ref="D70:G70"/>
    <mergeCell ref="C68:C69"/>
    <mergeCell ref="D63:M63"/>
    <mergeCell ref="D71:M71"/>
    <mergeCell ref="D72:M72"/>
    <mergeCell ref="D77:M77"/>
    <mergeCell ref="B114:B120"/>
    <mergeCell ref="B122:B125"/>
    <mergeCell ref="B126:B137"/>
    <mergeCell ref="D82:M82"/>
    <mergeCell ref="E18:F18"/>
    <mergeCell ref="D62:M62"/>
    <mergeCell ref="D48:G48"/>
    <mergeCell ref="C59:C60"/>
    <mergeCell ref="D49:M49"/>
    <mergeCell ref="D53:M53"/>
    <mergeCell ref="I18:J18"/>
    <mergeCell ref="C37:C38"/>
    <mergeCell ref="G18:H18"/>
    <mergeCell ref="D21:M21"/>
    <mergeCell ref="C46:C47"/>
    <mergeCell ref="B15:B19"/>
    <mergeCell ref="B108:I109"/>
    <mergeCell ref="D83:M83"/>
    <mergeCell ref="B85:E85"/>
    <mergeCell ref="B86:B92"/>
    <mergeCell ref="B94:E94"/>
    <mergeCell ref="B95:B101"/>
    <mergeCell ref="D41:M41"/>
    <mergeCell ref="D15:M15"/>
    <mergeCell ref="D16:M16"/>
    <mergeCell ref="D17:M17"/>
    <mergeCell ref="D26:M26"/>
    <mergeCell ref="D27:M27"/>
    <mergeCell ref="D31:M31"/>
    <mergeCell ref="D40:M40"/>
    <mergeCell ref="D18:D19"/>
  </mergeCells>
  <conditionalFormatting sqref="E81">
    <cfRule type="containsText" dxfId="25" priority="5" operator="containsText" text="ERROR">
      <formula>NOT(ISERROR(SEARCH("ERROR",E81)))</formula>
    </cfRule>
  </conditionalFormatting>
  <conditionalFormatting sqref="F10">
    <cfRule type="notContainsBlanks" dxfId="24" priority="4">
      <formula>LEN(TRIM(F10))&gt;0</formula>
    </cfRule>
  </conditionalFormatting>
  <conditionalFormatting sqref="F11:S11">
    <cfRule type="expression" dxfId="23" priority="2">
      <formula>E11="NO SE REPORTA"</formula>
    </cfRule>
    <cfRule type="expression" dxfId="22" priority="3">
      <formula>E10="NO APLICA"</formula>
    </cfRule>
  </conditionalFormatting>
  <conditionalFormatting sqref="E12:R12">
    <cfRule type="expression" dxfId="2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44:G45 E57:L58 E35:M36 E28:E30 E66:G67 E50:E52 E20:J20">
      <formula1>0</formula1>
    </dataValidation>
    <dataValidation type="decimal" allowBlank="1" showInputMessage="1" showErrorMessage="1" errorTitle="ERROR" error="Escriba un valor entre 0% y 100%" sqref="F79:F80">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D119" r:id="rId1" display="http://www.sisaire.gov.co/"/>
    <hyperlink ref="D120" r:id="rId2" display="http://www.sirh.ideam.gov.co/"/>
    <hyperlink ref="B9" location="'ANEXO 3'!A1" display="VOLVER AL INDICE"/>
  </hyperlinks>
  <pageMargins left="0.25" right="0.25" top="0.75" bottom="0.75" header="0.3" footer="0.3"/>
  <pageSetup paperSize="178" orientation="landscape" horizontalDpi="1200" verticalDpi="1200"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3"/>
  <sheetViews>
    <sheetView showGridLines="0" zoomScale="98" zoomScaleNormal="98" workbookViewId="0">
      <selection activeCell="Q21" sqref="Q21"/>
    </sheetView>
  </sheetViews>
  <sheetFormatPr baseColWidth="10" defaultRowHeight="15" x14ac:dyDescent="0.25"/>
  <cols>
    <col min="1" max="1" width="1.85546875" customWidth="1"/>
    <col min="2" max="2" width="12.85546875" customWidth="1"/>
    <col min="3" max="3" width="5.140625" style="85" bestFit="1" customWidth="1"/>
    <col min="4" max="4" width="34.85546875" customWidth="1"/>
    <col min="5" max="5" width="12.140625" customWidth="1"/>
    <col min="11" max="11" width="22"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1074</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9" t="s">
        <v>1192</v>
      </c>
      <c r="C8" s="209">
        <v>2022</v>
      </c>
      <c r="D8" s="214">
        <f>IF(E10="NO APLICA","NO APLICA",IF(E11="NO SE REPORTA","SIN INFORMACION",+E30))</f>
        <v>0.80019881016733052</v>
      </c>
      <c r="E8" s="210"/>
      <c r="F8" s="5" t="s">
        <v>130</v>
      </c>
      <c r="G8" s="5"/>
      <c r="H8" s="5"/>
      <c r="I8" s="5"/>
      <c r="J8" s="5"/>
      <c r="K8" s="5"/>
    </row>
    <row r="9" spans="1:21" x14ac:dyDescent="0.25">
      <c r="B9" s="363" t="s">
        <v>1193</v>
      </c>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63"/>
      <c r="C12" s="86"/>
      <c r="D12" s="169" t="str">
        <f>IF(E11="SI SE REPORTA","¿Qué programas o proyectos del Plan de Acción están asociados al indicador? ","")</f>
        <v xml:space="preserve">¿Qué programas o proyectos del Plan de Acción están asociados al indicador? </v>
      </c>
      <c r="E12" s="1018" t="s">
        <v>1936</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D14" s="5"/>
      <c r="E14" s="5"/>
      <c r="F14" s="5"/>
      <c r="G14" s="5"/>
      <c r="H14" s="5"/>
      <c r="I14" s="5"/>
      <c r="J14" s="5"/>
      <c r="K14" s="5"/>
    </row>
    <row r="15" spans="1:21" x14ac:dyDescent="0.25">
      <c r="B15" s="1045" t="s">
        <v>2</v>
      </c>
      <c r="C15" s="87"/>
      <c r="D15" s="1033" t="s">
        <v>1088</v>
      </c>
      <c r="E15" s="1034"/>
      <c r="F15" s="1034"/>
      <c r="G15" s="1034"/>
      <c r="H15" s="1035"/>
      <c r="I15" s="5"/>
      <c r="J15" s="5"/>
      <c r="K15" s="5"/>
      <c r="L15" s="5"/>
      <c r="M15" s="5"/>
      <c r="N15" s="5"/>
      <c r="O15" s="5"/>
    </row>
    <row r="16" spans="1:21" x14ac:dyDescent="0.25">
      <c r="B16" s="1046"/>
      <c r="C16" s="90"/>
      <c r="D16" s="1039" t="s">
        <v>1106</v>
      </c>
      <c r="E16" s="1040"/>
      <c r="F16" s="1040"/>
      <c r="G16" s="1040"/>
      <c r="H16" s="1041"/>
      <c r="I16" s="5"/>
      <c r="J16" s="5"/>
      <c r="K16" s="5"/>
      <c r="L16" s="5"/>
      <c r="M16" s="5"/>
      <c r="N16" s="5"/>
      <c r="O16" s="5"/>
    </row>
    <row r="17" spans="1:15" ht="15.75" thickBot="1" x14ac:dyDescent="0.3">
      <c r="B17" s="1046"/>
      <c r="C17" s="90"/>
      <c r="D17" s="1051" t="s">
        <v>3</v>
      </c>
      <c r="E17" s="1052"/>
      <c r="F17" s="1052"/>
      <c r="G17" s="1052"/>
      <c r="H17" s="1053"/>
      <c r="I17" s="5"/>
      <c r="J17" s="5"/>
      <c r="K17" s="5"/>
      <c r="L17" s="5"/>
      <c r="M17" s="5"/>
      <c r="N17" s="5"/>
      <c r="O17" s="5"/>
    </row>
    <row r="18" spans="1:15" ht="15.75" thickBot="1" x14ac:dyDescent="0.3">
      <c r="B18" s="1046"/>
      <c r="C18" s="96" t="s">
        <v>19</v>
      </c>
      <c r="D18" s="38" t="s">
        <v>1107</v>
      </c>
      <c r="E18" s="38" t="s">
        <v>1108</v>
      </c>
      <c r="F18" s="38" t="s">
        <v>1109</v>
      </c>
      <c r="G18" s="38" t="s">
        <v>1110</v>
      </c>
      <c r="H18" s="112"/>
      <c r="I18" s="5"/>
      <c r="J18" s="5"/>
      <c r="K18" s="5"/>
      <c r="L18" s="5"/>
      <c r="M18" s="5"/>
      <c r="N18" s="5"/>
      <c r="O18" s="5"/>
    </row>
    <row r="19" spans="1:15" ht="24.75" thickBot="1" x14ac:dyDescent="0.3">
      <c r="B19" s="1046"/>
      <c r="C19" s="2" t="s">
        <v>152</v>
      </c>
      <c r="D19" s="40" t="s">
        <v>1111</v>
      </c>
      <c r="E19" s="144">
        <v>10</v>
      </c>
      <c r="F19" s="144">
        <v>879</v>
      </c>
      <c r="G19" s="144">
        <v>113</v>
      </c>
      <c r="H19" s="113"/>
      <c r="I19" s="5"/>
      <c r="J19" s="5"/>
      <c r="K19" s="5"/>
      <c r="L19" s="5"/>
      <c r="M19" s="5"/>
      <c r="N19" s="5"/>
      <c r="O19" s="5"/>
    </row>
    <row r="20" spans="1:15" ht="24.75" thickBot="1" x14ac:dyDescent="0.3">
      <c r="B20" s="1046"/>
      <c r="C20" s="2" t="s">
        <v>154</v>
      </c>
      <c r="D20" s="40" t="s">
        <v>1112</v>
      </c>
      <c r="E20" s="144">
        <v>55</v>
      </c>
      <c r="F20" s="144">
        <v>953</v>
      </c>
      <c r="G20" s="144">
        <v>126</v>
      </c>
      <c r="H20" s="113"/>
      <c r="I20" s="5"/>
      <c r="J20" s="5"/>
      <c r="K20" s="5"/>
      <c r="L20" s="5"/>
      <c r="M20" s="5"/>
      <c r="N20" s="5"/>
      <c r="O20" s="5"/>
    </row>
    <row r="21" spans="1:15" ht="24.75" thickBot="1" x14ac:dyDescent="0.3">
      <c r="B21" s="1046"/>
      <c r="C21" s="2" t="s">
        <v>156</v>
      </c>
      <c r="D21" s="40" t="s">
        <v>1113</v>
      </c>
      <c r="E21" s="145">
        <f>IFERROR(E19/E20,"N.A")</f>
        <v>0.18181818181818182</v>
      </c>
      <c r="F21" s="145">
        <f>IFERROR(F19/F20,"N.A")</f>
        <v>0.92235047219307453</v>
      </c>
      <c r="G21" s="145">
        <f>IFERROR(G19/G20,"N.A")</f>
        <v>0.89682539682539686</v>
      </c>
      <c r="H21" s="114"/>
      <c r="I21" s="5"/>
      <c r="J21" s="5" t="s">
        <v>1202</v>
      </c>
      <c r="K21" s="5"/>
      <c r="L21" s="5"/>
      <c r="M21" s="5"/>
      <c r="N21" s="5"/>
      <c r="O21" s="5"/>
    </row>
    <row r="22" spans="1:15" x14ac:dyDescent="0.25">
      <c r="B22" s="1046"/>
      <c r="C22" s="90"/>
      <c r="D22" s="1036"/>
      <c r="E22" s="1037"/>
      <c r="F22" s="1037"/>
      <c r="G22" s="1037"/>
      <c r="H22" s="1038"/>
      <c r="I22" s="5"/>
      <c r="J22" s="5"/>
      <c r="K22" s="5"/>
      <c r="L22" s="5"/>
      <c r="M22" s="5"/>
      <c r="N22" s="5"/>
      <c r="O22" s="5"/>
    </row>
    <row r="23" spans="1:15" ht="24" customHeight="1" thickBot="1" x14ac:dyDescent="0.3">
      <c r="B23" s="1046"/>
      <c r="C23" s="90"/>
      <c r="D23" s="1039" t="s">
        <v>1101</v>
      </c>
      <c r="E23" s="1040"/>
      <c r="F23" s="1040"/>
      <c r="G23" s="1040"/>
      <c r="H23" s="1041"/>
      <c r="I23" s="5"/>
      <c r="J23" s="5"/>
      <c r="K23" s="5"/>
      <c r="L23" s="5"/>
      <c r="M23" s="5"/>
      <c r="N23" s="5"/>
      <c r="O23" s="5"/>
    </row>
    <row r="24" spans="1:15" ht="15.75" thickBot="1" x14ac:dyDescent="0.3">
      <c r="B24" s="1046"/>
      <c r="C24" s="96" t="s">
        <v>19</v>
      </c>
      <c r="D24" s="38" t="s">
        <v>1107</v>
      </c>
      <c r="E24" s="38" t="s">
        <v>1114</v>
      </c>
      <c r="F24" s="38" t="s">
        <v>1115</v>
      </c>
      <c r="H24" s="21"/>
      <c r="I24" s="5"/>
      <c r="J24" s="5"/>
      <c r="K24" s="5"/>
      <c r="L24" s="5"/>
      <c r="M24" s="5"/>
      <c r="N24" s="5"/>
      <c r="O24" s="5"/>
    </row>
    <row r="25" spans="1:15" ht="24.75" thickBot="1" x14ac:dyDescent="0.3">
      <c r="B25" s="1046"/>
      <c r="C25" s="2" t="s">
        <v>152</v>
      </c>
      <c r="D25" s="40" t="s">
        <v>1116</v>
      </c>
      <c r="E25" s="144">
        <v>163</v>
      </c>
      <c r="F25" s="144">
        <v>11</v>
      </c>
      <c r="H25" s="21"/>
      <c r="I25" s="5"/>
      <c r="J25" s="5"/>
      <c r="K25" s="5"/>
      <c r="L25" s="5"/>
      <c r="M25" s="5"/>
      <c r="N25" s="5"/>
      <c r="O25" s="5"/>
    </row>
    <row r="26" spans="1:15" ht="24.75" thickBot="1" x14ac:dyDescent="0.3">
      <c r="B26" s="1046"/>
      <c r="C26" s="2" t="s">
        <v>154</v>
      </c>
      <c r="D26" s="40" t="s">
        <v>1117</v>
      </c>
      <c r="E26" s="144">
        <v>163</v>
      </c>
      <c r="F26" s="144">
        <v>11</v>
      </c>
      <c r="H26" s="21"/>
      <c r="I26" s="5"/>
      <c r="J26" s="5"/>
      <c r="K26" s="5"/>
      <c r="L26" s="5"/>
      <c r="M26" s="5"/>
      <c r="N26" s="5"/>
      <c r="O26" s="5"/>
    </row>
    <row r="27" spans="1:15" ht="24.75" thickBot="1" x14ac:dyDescent="0.3">
      <c r="B27" s="1046"/>
      <c r="C27" s="2" t="s">
        <v>156</v>
      </c>
      <c r="D27" s="40" t="s">
        <v>1187</v>
      </c>
      <c r="E27" s="145">
        <f>IFERROR(E25/E26,"N.A.")</f>
        <v>1</v>
      </c>
      <c r="F27" s="145">
        <f>IFERROR(F25/F26,"N.A.")</f>
        <v>1</v>
      </c>
      <c r="H27" s="21"/>
      <c r="I27" s="5"/>
      <c r="J27" s="5" t="s">
        <v>1202</v>
      </c>
      <c r="K27" s="5"/>
    </row>
    <row r="28" spans="1:15" ht="15.75" thickBot="1" x14ac:dyDescent="0.3">
      <c r="B28" s="1047"/>
      <c r="C28" s="2"/>
      <c r="D28" s="123"/>
      <c r="E28" s="123"/>
      <c r="F28" s="123"/>
      <c r="G28" s="123"/>
      <c r="H28" s="23"/>
      <c r="I28" s="5"/>
      <c r="J28" s="5"/>
      <c r="K28" s="5"/>
    </row>
    <row r="29" spans="1:15" ht="15.75" thickBot="1" x14ac:dyDescent="0.3">
      <c r="A29" s="5"/>
      <c r="B29" s="5"/>
      <c r="C29" s="5"/>
      <c r="D29" s="5"/>
      <c r="E29" s="5"/>
      <c r="F29" s="5"/>
      <c r="G29" s="5"/>
      <c r="H29" s="5"/>
      <c r="I29" s="5"/>
      <c r="J29" s="5"/>
      <c r="K29" s="5"/>
    </row>
    <row r="30" spans="1:15" ht="25.7" customHeight="1" thickBot="1" x14ac:dyDescent="0.3">
      <c r="A30" s="5"/>
      <c r="B30" s="5"/>
      <c r="C30" s="5"/>
      <c r="D30" s="51" t="s">
        <v>1245</v>
      </c>
      <c r="E30" s="145">
        <f>AVERAGE(E21:G21,E27:F27)</f>
        <v>0.80019881016733052</v>
      </c>
      <c r="F30" s="306"/>
      <c r="G30" s="306"/>
      <c r="H30" s="63"/>
      <c r="I30" s="5"/>
      <c r="J30" s="5"/>
      <c r="K30" s="5"/>
    </row>
    <row r="31" spans="1:15" x14ac:dyDescent="0.25">
      <c r="A31" s="5"/>
      <c r="B31" s="5"/>
      <c r="C31" s="5"/>
      <c r="D31" s="5"/>
      <c r="E31" s="5"/>
      <c r="F31" s="5"/>
      <c r="G31" s="5"/>
      <c r="H31" s="5"/>
      <c r="I31" s="5"/>
      <c r="J31" s="5"/>
      <c r="K31" s="5"/>
    </row>
    <row r="32" spans="1:15" ht="15.75" thickBot="1" x14ac:dyDescent="0.3">
      <c r="A32" s="5"/>
      <c r="B32" s="5"/>
      <c r="C32" s="5"/>
      <c r="D32" s="5"/>
      <c r="E32" s="5"/>
      <c r="F32" s="5"/>
      <c r="G32" s="5"/>
      <c r="H32" s="5"/>
      <c r="I32" s="5"/>
      <c r="J32" s="5"/>
      <c r="K32" s="5"/>
    </row>
    <row r="33" spans="2:11" ht="36" customHeight="1" thickBot="1" x14ac:dyDescent="0.3">
      <c r="B33" s="51" t="s">
        <v>34</v>
      </c>
      <c r="C33" s="231"/>
      <c r="D33" s="1048" t="s">
        <v>1118</v>
      </c>
      <c r="E33" s="1049"/>
      <c r="F33" s="1049"/>
      <c r="G33" s="1049"/>
      <c r="H33" s="1050"/>
      <c r="I33" s="5"/>
      <c r="J33" s="5"/>
      <c r="K33" s="5"/>
    </row>
    <row r="34" spans="2:11" ht="48.2" customHeight="1" thickBot="1" x14ac:dyDescent="0.3">
      <c r="B34" s="46" t="s">
        <v>36</v>
      </c>
      <c r="C34" s="91"/>
      <c r="D34" s="1048" t="s">
        <v>1119</v>
      </c>
      <c r="E34" s="1049"/>
      <c r="F34" s="1049"/>
      <c r="G34" s="1049"/>
      <c r="H34" s="1050"/>
      <c r="I34" s="5"/>
      <c r="J34" s="5"/>
      <c r="K34" s="5"/>
    </row>
    <row r="35" spans="2:11" ht="15.75" thickBot="1" x14ac:dyDescent="0.3">
      <c r="B35" s="1"/>
      <c r="C35" s="74"/>
      <c r="D35" s="5"/>
      <c r="E35" s="5"/>
      <c r="F35" s="5"/>
      <c r="G35" s="5"/>
      <c r="H35" s="5"/>
      <c r="I35" s="5"/>
      <c r="J35" s="5"/>
      <c r="K35" s="5"/>
    </row>
    <row r="36" spans="2:11" ht="24" customHeight="1" thickBot="1" x14ac:dyDescent="0.3">
      <c r="B36" s="1054" t="s">
        <v>38</v>
      </c>
      <c r="C36" s="1055"/>
      <c r="D36" s="1055"/>
      <c r="E36" s="1056"/>
      <c r="F36" s="5"/>
      <c r="G36" s="5"/>
      <c r="H36" s="5"/>
      <c r="I36" s="5"/>
      <c r="J36" s="5"/>
      <c r="K36" s="5"/>
    </row>
    <row r="37" spans="2:11" ht="15.75" thickBot="1" x14ac:dyDescent="0.3">
      <c r="B37" s="1045">
        <v>1</v>
      </c>
      <c r="C37" s="92"/>
      <c r="D37" s="47" t="s">
        <v>39</v>
      </c>
      <c r="E37" s="158" t="s">
        <v>1771</v>
      </c>
      <c r="F37" s="5"/>
      <c r="G37" s="5"/>
      <c r="H37" s="5"/>
      <c r="I37" s="5"/>
      <c r="J37" s="5"/>
      <c r="K37" s="5"/>
    </row>
    <row r="38" spans="2:11" ht="15.75" thickBot="1" x14ac:dyDescent="0.3">
      <c r="B38" s="1046"/>
      <c r="C38" s="92"/>
      <c r="D38" s="40" t="s">
        <v>40</v>
      </c>
      <c r="E38" s="158" t="s">
        <v>1772</v>
      </c>
      <c r="F38" s="5"/>
      <c r="G38" s="5"/>
      <c r="H38" s="5"/>
      <c r="I38" s="5"/>
      <c r="J38" s="5"/>
      <c r="K38" s="5"/>
    </row>
    <row r="39" spans="2:11" ht="15.75" thickBot="1" x14ac:dyDescent="0.3">
      <c r="B39" s="1046"/>
      <c r="C39" s="92"/>
      <c r="D39" s="40" t="s">
        <v>41</v>
      </c>
      <c r="E39" s="158" t="s">
        <v>1787</v>
      </c>
      <c r="F39" s="5"/>
      <c r="G39" s="5"/>
      <c r="H39" s="5"/>
      <c r="I39" s="5"/>
      <c r="J39" s="5"/>
      <c r="K39" s="5"/>
    </row>
    <row r="40" spans="2:11" ht="15.75" thickBot="1" x14ac:dyDescent="0.3">
      <c r="B40" s="1046"/>
      <c r="C40" s="92"/>
      <c r="D40" s="40" t="s">
        <v>42</v>
      </c>
      <c r="E40" s="158" t="s">
        <v>1788</v>
      </c>
      <c r="F40" s="5"/>
      <c r="G40" s="5"/>
      <c r="H40" s="5"/>
      <c r="I40" s="5"/>
      <c r="J40" s="5"/>
      <c r="K40" s="5"/>
    </row>
    <row r="41" spans="2:11" ht="15.75" thickBot="1" x14ac:dyDescent="0.3">
      <c r="B41" s="1046"/>
      <c r="C41" s="92"/>
      <c r="D41" s="40" t="s">
        <v>43</v>
      </c>
      <c r="E41" s="158" t="s">
        <v>1789</v>
      </c>
      <c r="F41" s="5"/>
      <c r="G41" s="5"/>
      <c r="H41" s="5"/>
      <c r="I41" s="5"/>
      <c r="J41" s="5"/>
      <c r="K41" s="5"/>
    </row>
    <row r="42" spans="2:11" ht="15.75" thickBot="1" x14ac:dyDescent="0.3">
      <c r="B42" s="1046"/>
      <c r="C42" s="92"/>
      <c r="D42" s="40" t="s">
        <v>44</v>
      </c>
      <c r="E42" s="158">
        <v>4380200</v>
      </c>
      <c r="F42" s="5"/>
      <c r="G42" s="5"/>
      <c r="H42" s="5"/>
      <c r="I42" s="5"/>
      <c r="J42" s="5"/>
      <c r="K42" s="5"/>
    </row>
    <row r="43" spans="2:11" ht="15.75" thickBot="1" x14ac:dyDescent="0.3">
      <c r="B43" s="1047"/>
      <c r="C43" s="2"/>
      <c r="D43" s="40" t="s">
        <v>45</v>
      </c>
      <c r="E43" s="158" t="s">
        <v>1773</v>
      </c>
      <c r="F43" s="5"/>
      <c r="G43" s="5"/>
      <c r="H43" s="5"/>
      <c r="I43" s="5"/>
      <c r="J43" s="5"/>
      <c r="K43" s="5"/>
    </row>
    <row r="44" spans="2:11" ht="15.75" thickBot="1" x14ac:dyDescent="0.3">
      <c r="B44" s="1"/>
      <c r="C44" s="74"/>
      <c r="D44" s="5"/>
      <c r="E44" s="5"/>
      <c r="F44" s="5"/>
      <c r="G44" s="5"/>
      <c r="H44" s="5"/>
      <c r="I44" s="5"/>
      <c r="J44" s="5"/>
      <c r="K44" s="5"/>
    </row>
    <row r="45" spans="2:11" ht="15.75" thickBot="1" x14ac:dyDescent="0.3">
      <c r="B45" s="1054" t="s">
        <v>46</v>
      </c>
      <c r="C45" s="1055"/>
      <c r="D45" s="1055"/>
      <c r="E45" s="1056"/>
      <c r="F45" s="5"/>
      <c r="G45" s="5"/>
      <c r="H45" s="5"/>
      <c r="I45" s="5"/>
      <c r="J45" s="5"/>
      <c r="K45" s="5"/>
    </row>
    <row r="46" spans="2:11" ht="15.75" thickBot="1" x14ac:dyDescent="0.3">
      <c r="B46" s="1045">
        <v>1</v>
      </c>
      <c r="C46" s="92"/>
      <c r="D46" s="47" t="s">
        <v>39</v>
      </c>
      <c r="E46" s="18" t="s">
        <v>47</v>
      </c>
      <c r="F46" s="5"/>
      <c r="G46" s="5"/>
      <c r="H46" s="5"/>
      <c r="I46" s="5"/>
      <c r="J46" s="5"/>
      <c r="K46" s="5"/>
    </row>
    <row r="47" spans="2:11" ht="15.75" thickBot="1" x14ac:dyDescent="0.3">
      <c r="B47" s="1046"/>
      <c r="C47" s="92"/>
      <c r="D47" s="40" t="s">
        <v>40</v>
      </c>
      <c r="E47" s="18" t="s">
        <v>160</v>
      </c>
      <c r="F47" s="5"/>
      <c r="G47" s="5"/>
      <c r="H47" s="5"/>
      <c r="I47" s="5"/>
      <c r="J47" s="5"/>
      <c r="K47" s="5"/>
    </row>
    <row r="48" spans="2:11" ht="15.75" thickBot="1" x14ac:dyDescent="0.3">
      <c r="B48" s="1046"/>
      <c r="C48" s="92"/>
      <c r="D48" s="40" t="s">
        <v>41</v>
      </c>
      <c r="E48" s="163"/>
      <c r="F48" s="5"/>
      <c r="G48" s="5"/>
      <c r="H48" s="5"/>
      <c r="I48" s="5"/>
      <c r="J48" s="5"/>
      <c r="K48" s="5"/>
    </row>
    <row r="49" spans="2:11" ht="15.75" thickBot="1" x14ac:dyDescent="0.3">
      <c r="B49" s="1046"/>
      <c r="C49" s="92"/>
      <c r="D49" s="40" t="s">
        <v>42</v>
      </c>
      <c r="E49" s="163"/>
      <c r="F49" s="5"/>
      <c r="G49" s="5"/>
      <c r="H49" s="5"/>
      <c r="I49" s="5"/>
      <c r="J49" s="5"/>
      <c r="K49" s="5"/>
    </row>
    <row r="50" spans="2:11" ht="15.75" thickBot="1" x14ac:dyDescent="0.3">
      <c r="B50" s="1046"/>
      <c r="C50" s="92"/>
      <c r="D50" s="40" t="s">
        <v>43</v>
      </c>
      <c r="E50" s="163"/>
      <c r="F50" s="5"/>
      <c r="G50" s="5"/>
      <c r="H50" s="5"/>
      <c r="I50" s="5"/>
      <c r="J50" s="5"/>
      <c r="K50" s="5"/>
    </row>
    <row r="51" spans="2:11" ht="15.75" thickBot="1" x14ac:dyDescent="0.3">
      <c r="B51" s="1046"/>
      <c r="C51" s="92"/>
      <c r="D51" s="40" t="s">
        <v>44</v>
      </c>
      <c r="E51" s="163"/>
      <c r="F51" s="5"/>
      <c r="G51" s="5"/>
      <c r="H51" s="5"/>
      <c r="I51" s="5"/>
      <c r="J51" s="5"/>
      <c r="K51" s="5"/>
    </row>
    <row r="52" spans="2:11" ht="15.75" thickBot="1" x14ac:dyDescent="0.3">
      <c r="B52" s="1047"/>
      <c r="C52" s="2"/>
      <c r="D52" s="40" t="s">
        <v>45</v>
      </c>
      <c r="E52" s="163"/>
      <c r="F52" s="5"/>
      <c r="G52" s="5"/>
      <c r="H52" s="5"/>
      <c r="I52" s="5"/>
      <c r="J52" s="5"/>
      <c r="K52" s="5"/>
    </row>
    <row r="53" spans="2:11" ht="15.75" thickBot="1" x14ac:dyDescent="0.3">
      <c r="B53" s="1"/>
      <c r="C53" s="74"/>
      <c r="D53" s="5"/>
      <c r="E53" s="5"/>
      <c r="F53" s="5"/>
      <c r="G53" s="5"/>
      <c r="H53" s="5"/>
      <c r="I53" s="5"/>
      <c r="J53" s="5"/>
      <c r="K53" s="5"/>
    </row>
    <row r="54" spans="2:11" ht="15" customHeight="1" thickBot="1" x14ac:dyDescent="0.3">
      <c r="B54" s="120" t="s">
        <v>49</v>
      </c>
      <c r="C54" s="121"/>
      <c r="D54" s="121"/>
      <c r="E54" s="122"/>
      <c r="G54" s="5"/>
      <c r="H54" s="5"/>
      <c r="I54" s="5"/>
      <c r="J54" s="5"/>
      <c r="K54" s="5"/>
    </row>
    <row r="55" spans="2:11" ht="24.75" thickBot="1" x14ac:dyDescent="0.3">
      <c r="B55" s="46" t="s">
        <v>50</v>
      </c>
      <c r="C55" s="40" t="s">
        <v>51</v>
      </c>
      <c r="D55" s="40" t="s">
        <v>52</v>
      </c>
      <c r="E55" s="40" t="s">
        <v>53</v>
      </c>
      <c r="F55" s="5"/>
      <c r="G55" s="5"/>
      <c r="H55" s="5"/>
      <c r="I55" s="5"/>
      <c r="J55" s="5"/>
    </row>
    <row r="56" spans="2:11" ht="60.75" thickBot="1" x14ac:dyDescent="0.3">
      <c r="B56" s="48">
        <v>42401</v>
      </c>
      <c r="C56" s="40">
        <v>0.01</v>
      </c>
      <c r="D56" s="49" t="s">
        <v>1120</v>
      </c>
      <c r="E56" s="40"/>
      <c r="F56" s="5"/>
      <c r="G56" s="5"/>
      <c r="H56" s="5"/>
      <c r="I56" s="5"/>
      <c r="J56" s="5"/>
    </row>
    <row r="57" spans="2:11" ht="15.75" thickBot="1" x14ac:dyDescent="0.3">
      <c r="B57" s="3"/>
      <c r="C57" s="93"/>
      <c r="D57" s="5"/>
      <c r="E57" s="5"/>
      <c r="F57" s="5"/>
      <c r="G57" s="5"/>
      <c r="H57" s="5"/>
      <c r="I57" s="5"/>
      <c r="J57" s="5"/>
      <c r="K57" s="5"/>
    </row>
    <row r="58" spans="2:11" ht="15.75" thickBot="1" x14ac:dyDescent="0.3">
      <c r="B58" s="127" t="s">
        <v>55</v>
      </c>
      <c r="C58" s="94"/>
      <c r="D58" s="5"/>
      <c r="E58" s="5"/>
      <c r="F58" s="5"/>
      <c r="G58" s="5"/>
      <c r="H58" s="5"/>
      <c r="I58" s="5"/>
      <c r="J58" s="5"/>
      <c r="K58" s="5"/>
    </row>
    <row r="59" spans="2:11" x14ac:dyDescent="0.25">
      <c r="B59" s="1159"/>
      <c r="C59" s="1160"/>
      <c r="D59" s="1160"/>
      <c r="E59" s="1161"/>
      <c r="F59" s="5"/>
      <c r="G59" s="5"/>
      <c r="H59" s="5"/>
      <c r="I59" s="5"/>
      <c r="J59" s="5"/>
      <c r="K59" s="5"/>
    </row>
    <row r="60" spans="2:11" ht="15.75" thickBot="1" x14ac:dyDescent="0.3">
      <c r="B60" s="1162"/>
      <c r="C60" s="1163"/>
      <c r="D60" s="1163"/>
      <c r="E60" s="1164"/>
      <c r="F60" s="5"/>
      <c r="G60" s="5"/>
      <c r="H60" s="5"/>
      <c r="I60" s="5"/>
      <c r="J60" s="5"/>
      <c r="K60" s="5"/>
    </row>
    <row r="61" spans="2:11" ht="15.75" thickBot="1" x14ac:dyDescent="0.3">
      <c r="B61" s="5"/>
      <c r="D61" s="5"/>
      <c r="E61" s="5"/>
      <c r="F61" s="5"/>
      <c r="G61" s="5"/>
      <c r="H61" s="5"/>
      <c r="I61" s="5"/>
      <c r="J61" s="5"/>
      <c r="K61" s="5"/>
    </row>
    <row r="62" spans="2:11" ht="24.75" thickBot="1" x14ac:dyDescent="0.3">
      <c r="B62" s="50" t="s">
        <v>56</v>
      </c>
      <c r="C62" s="95"/>
      <c r="D62" s="5"/>
      <c r="E62" s="5"/>
      <c r="F62" s="5"/>
      <c r="G62" s="5"/>
      <c r="H62" s="5"/>
      <c r="I62" s="5"/>
      <c r="J62" s="5"/>
      <c r="K62" s="5"/>
    </row>
    <row r="63" spans="2:11" ht="15.75" thickBot="1" x14ac:dyDescent="0.3">
      <c r="B63" s="1"/>
      <c r="C63" s="74"/>
      <c r="D63" s="5"/>
      <c r="E63" s="5"/>
      <c r="F63" s="5"/>
      <c r="G63" s="5"/>
      <c r="H63" s="5"/>
      <c r="I63" s="5"/>
      <c r="J63" s="5"/>
      <c r="K63" s="5"/>
    </row>
    <row r="64" spans="2:11" ht="60.75" thickBot="1" x14ac:dyDescent="0.3">
      <c r="B64" s="51" t="s">
        <v>57</v>
      </c>
      <c r="C64" s="96"/>
      <c r="D64" s="42" t="s">
        <v>1075</v>
      </c>
      <c r="E64" s="5"/>
      <c r="F64" s="5"/>
      <c r="G64" s="5"/>
      <c r="H64" s="5"/>
      <c r="I64" s="5"/>
      <c r="J64" s="5"/>
      <c r="K64" s="5"/>
    </row>
    <row r="65" spans="2:11" x14ac:dyDescent="0.25">
      <c r="B65" s="1045" t="s">
        <v>59</v>
      </c>
      <c r="C65" s="92"/>
      <c r="D65" s="52" t="s">
        <v>60</v>
      </c>
      <c r="E65" s="5"/>
      <c r="F65" s="5"/>
      <c r="G65" s="5"/>
      <c r="H65" s="5"/>
      <c r="I65" s="5"/>
      <c r="J65" s="5"/>
      <c r="K65" s="5"/>
    </row>
    <row r="66" spans="2:11" ht="48" x14ac:dyDescent="0.25">
      <c r="B66" s="1046"/>
      <c r="C66" s="92"/>
      <c r="D66" s="45" t="s">
        <v>1076</v>
      </c>
      <c r="E66" s="5"/>
      <c r="F66" s="5"/>
      <c r="G66" s="5"/>
      <c r="H66" s="5"/>
      <c r="I66" s="5"/>
      <c r="J66" s="5"/>
      <c r="K66" s="5"/>
    </row>
    <row r="67" spans="2:11" x14ac:dyDescent="0.25">
      <c r="B67" s="1046"/>
      <c r="C67" s="92"/>
      <c r="D67" s="52" t="s">
        <v>134</v>
      </c>
      <c r="E67" s="5"/>
      <c r="F67" s="5"/>
      <c r="G67" s="5"/>
      <c r="H67" s="5"/>
      <c r="I67" s="5"/>
      <c r="J67" s="5"/>
      <c r="K67" s="5"/>
    </row>
    <row r="68" spans="2:11" x14ac:dyDescent="0.25">
      <c r="B68" s="1046"/>
      <c r="C68" s="92"/>
      <c r="D68" s="45" t="s">
        <v>65</v>
      </c>
      <c r="E68" s="5"/>
      <c r="F68" s="5"/>
      <c r="G68" s="5"/>
      <c r="H68" s="5"/>
      <c r="I68" s="5"/>
      <c r="J68" s="5"/>
      <c r="K68" s="5"/>
    </row>
    <row r="69" spans="2:11" x14ac:dyDescent="0.25">
      <c r="B69" s="1046"/>
      <c r="C69" s="92"/>
      <c r="D69" s="45" t="s">
        <v>1004</v>
      </c>
      <c r="E69" s="5"/>
      <c r="F69" s="5"/>
      <c r="G69" s="5"/>
      <c r="H69" s="5"/>
      <c r="I69" s="5"/>
      <c r="J69" s="5"/>
      <c r="K69" s="5"/>
    </row>
    <row r="70" spans="2:11" ht="48" x14ac:dyDescent="0.25">
      <c r="B70" s="1046"/>
      <c r="C70" s="92"/>
      <c r="D70" s="45" t="s">
        <v>1005</v>
      </c>
      <c r="E70" s="5"/>
      <c r="F70" s="5"/>
      <c r="G70" s="5"/>
      <c r="H70" s="5"/>
      <c r="I70" s="5"/>
      <c r="J70" s="5"/>
      <c r="K70" s="5"/>
    </row>
    <row r="71" spans="2:11" ht="24" x14ac:dyDescent="0.25">
      <c r="B71" s="1046"/>
      <c r="C71" s="92"/>
      <c r="D71" s="45" t="s">
        <v>1077</v>
      </c>
      <c r="E71" s="5"/>
      <c r="F71" s="5"/>
      <c r="G71" s="5"/>
      <c r="H71" s="5"/>
      <c r="I71" s="5"/>
      <c r="J71" s="5"/>
      <c r="K71" s="5"/>
    </row>
    <row r="72" spans="2:11" x14ac:dyDescent="0.25">
      <c r="B72" s="1046"/>
      <c r="C72" s="92"/>
      <c r="D72" s="45" t="s">
        <v>1078</v>
      </c>
      <c r="E72" s="5"/>
      <c r="F72" s="5"/>
      <c r="G72" s="5"/>
      <c r="H72" s="5"/>
      <c r="I72" s="5"/>
      <c r="J72" s="5"/>
      <c r="K72" s="5"/>
    </row>
    <row r="73" spans="2:11" x14ac:dyDescent="0.25">
      <c r="B73" s="1046"/>
      <c r="C73" s="92"/>
      <c r="D73" s="52" t="s">
        <v>1079</v>
      </c>
      <c r="E73" s="5"/>
      <c r="F73" s="5"/>
      <c r="G73" s="5"/>
      <c r="H73" s="5"/>
      <c r="I73" s="5"/>
      <c r="J73" s="5"/>
      <c r="K73" s="5"/>
    </row>
    <row r="74" spans="2:11" ht="60" x14ac:dyDescent="0.25">
      <c r="B74" s="1046"/>
      <c r="C74" s="92"/>
      <c r="D74" s="45" t="s">
        <v>1080</v>
      </c>
      <c r="E74" s="5"/>
      <c r="F74" s="5"/>
      <c r="G74" s="5"/>
      <c r="H74" s="5"/>
      <c r="I74" s="5"/>
      <c r="J74" s="5"/>
      <c r="K74" s="5"/>
    </row>
    <row r="75" spans="2:11" x14ac:dyDescent="0.25">
      <c r="B75" s="1046"/>
      <c r="C75" s="92"/>
      <c r="D75" s="54" t="s">
        <v>1006</v>
      </c>
      <c r="E75" s="5"/>
      <c r="F75" s="5"/>
      <c r="G75" s="5"/>
      <c r="H75" s="5"/>
      <c r="I75" s="5"/>
      <c r="J75" s="5"/>
      <c r="K75" s="5"/>
    </row>
    <row r="76" spans="2:11" ht="15.75" thickBot="1" x14ac:dyDescent="0.3">
      <c r="B76" s="1047"/>
      <c r="C76" s="2"/>
      <c r="D76" s="55" t="s">
        <v>1007</v>
      </c>
      <c r="E76" s="5"/>
      <c r="F76" s="5"/>
      <c r="G76" s="5"/>
      <c r="H76" s="5"/>
      <c r="I76" s="5"/>
      <c r="J76" s="5"/>
      <c r="K76" s="5"/>
    </row>
    <row r="77" spans="2:11" ht="24.75" thickBot="1" x14ac:dyDescent="0.3">
      <c r="B77" s="46" t="s">
        <v>72</v>
      </c>
      <c r="C77" s="2"/>
      <c r="D77" s="40" t="s">
        <v>1081</v>
      </c>
      <c r="E77" s="5"/>
      <c r="F77" s="5"/>
      <c r="G77" s="5"/>
      <c r="H77" s="5"/>
      <c r="I77" s="5"/>
      <c r="J77" s="5"/>
      <c r="K77" s="5"/>
    </row>
    <row r="78" spans="2:11" ht="108" x14ac:dyDescent="0.25">
      <c r="B78" s="1045" t="s">
        <v>73</v>
      </c>
      <c r="C78" s="92"/>
      <c r="D78" s="45" t="s">
        <v>1082</v>
      </c>
      <c r="E78" s="5"/>
      <c r="F78" s="5"/>
      <c r="G78" s="5"/>
      <c r="H78" s="5"/>
      <c r="I78" s="5"/>
      <c r="J78" s="5"/>
      <c r="K78" s="5"/>
    </row>
    <row r="79" spans="2:11" ht="204" x14ac:dyDescent="0.25">
      <c r="B79" s="1046"/>
      <c r="C79" s="92"/>
      <c r="D79" s="45" t="s">
        <v>1083</v>
      </c>
      <c r="E79" s="5"/>
      <c r="F79" s="5"/>
      <c r="G79" s="5"/>
      <c r="H79" s="5"/>
      <c r="I79" s="5"/>
      <c r="J79" s="5"/>
      <c r="K79" s="5"/>
    </row>
    <row r="80" spans="2:11" ht="240" x14ac:dyDescent="0.25">
      <c r="B80" s="1046"/>
      <c r="C80" s="92"/>
      <c r="D80" s="45" t="s">
        <v>1084</v>
      </c>
      <c r="E80" s="5"/>
      <c r="F80" s="5"/>
      <c r="G80" s="5"/>
      <c r="H80" s="5"/>
      <c r="I80" s="5"/>
      <c r="J80" s="5"/>
      <c r="K80" s="5"/>
    </row>
    <row r="81" spans="2:11" ht="84" x14ac:dyDescent="0.25">
      <c r="B81" s="1046"/>
      <c r="C81" s="92"/>
      <c r="D81" s="45" t="s">
        <v>1085</v>
      </c>
      <c r="E81" s="5"/>
      <c r="F81" s="5"/>
      <c r="G81" s="5"/>
      <c r="H81" s="5"/>
      <c r="I81" s="5"/>
      <c r="J81" s="5"/>
      <c r="K81" s="5"/>
    </row>
    <row r="82" spans="2:11" ht="216" x14ac:dyDescent="0.25">
      <c r="B82" s="1046"/>
      <c r="C82" s="92"/>
      <c r="D82" s="45" t="s">
        <v>1011</v>
      </c>
      <c r="E82" s="5"/>
      <c r="F82" s="5"/>
      <c r="G82" s="5"/>
      <c r="H82" s="5"/>
      <c r="I82" s="5"/>
      <c r="J82" s="5"/>
      <c r="K82" s="5"/>
    </row>
    <row r="83" spans="2:11" ht="180" x14ac:dyDescent="0.25">
      <c r="B83" s="1046"/>
      <c r="C83" s="92"/>
      <c r="D83" s="45" t="s">
        <v>1086</v>
      </c>
      <c r="E83" s="5"/>
      <c r="F83" s="5"/>
      <c r="G83" s="5"/>
      <c r="H83" s="5"/>
      <c r="I83" s="5"/>
      <c r="J83" s="5"/>
      <c r="K83" s="5"/>
    </row>
    <row r="84" spans="2:11" ht="132.75" thickBot="1" x14ac:dyDescent="0.3">
      <c r="B84" s="1047"/>
      <c r="C84" s="2"/>
      <c r="D84" s="40" t="s">
        <v>1087</v>
      </c>
      <c r="E84" s="5"/>
      <c r="F84" s="5"/>
      <c r="G84" s="5"/>
      <c r="H84" s="5"/>
      <c r="I84" s="5"/>
      <c r="J84" s="5"/>
      <c r="K84" s="5"/>
    </row>
    <row r="85" spans="2:11" ht="24" x14ac:dyDescent="0.25">
      <c r="B85" s="1045" t="s">
        <v>90</v>
      </c>
      <c r="C85" s="92"/>
      <c r="D85" s="56" t="s">
        <v>1088</v>
      </c>
      <c r="E85" s="5"/>
      <c r="F85" s="5"/>
      <c r="G85" s="5"/>
      <c r="H85" s="5"/>
      <c r="I85" s="5"/>
      <c r="J85" s="5"/>
      <c r="K85" s="5"/>
    </row>
    <row r="86" spans="2:11" x14ac:dyDescent="0.25">
      <c r="B86" s="1046"/>
      <c r="C86" s="92"/>
      <c r="D86" s="16"/>
      <c r="E86" s="5"/>
      <c r="F86" s="5"/>
      <c r="G86" s="5"/>
      <c r="H86" s="5"/>
      <c r="I86" s="5"/>
      <c r="J86" s="5"/>
      <c r="K86" s="5"/>
    </row>
    <row r="87" spans="2:11" x14ac:dyDescent="0.25">
      <c r="B87" s="1046"/>
      <c r="C87" s="92"/>
      <c r="D87" s="45" t="s">
        <v>91</v>
      </c>
      <c r="E87" s="5"/>
      <c r="F87" s="5"/>
      <c r="G87" s="5"/>
      <c r="H87" s="5"/>
      <c r="I87" s="5"/>
      <c r="J87" s="5"/>
      <c r="K87" s="5"/>
    </row>
    <row r="88" spans="2:11" ht="37.5" x14ac:dyDescent="0.25">
      <c r="B88" s="1046"/>
      <c r="C88" s="92"/>
      <c r="D88" s="45" t="s">
        <v>1089</v>
      </c>
      <c r="E88" s="5"/>
      <c r="F88" s="5"/>
      <c r="G88" s="5"/>
      <c r="H88" s="5"/>
      <c r="I88" s="5"/>
      <c r="J88" s="5"/>
      <c r="K88" s="5"/>
    </row>
    <row r="89" spans="2:11" ht="37.5" x14ac:dyDescent="0.25">
      <c r="B89" s="1046"/>
      <c r="C89" s="92"/>
      <c r="D89" s="45" t="s">
        <v>1090</v>
      </c>
      <c r="E89" s="5"/>
      <c r="F89" s="5"/>
      <c r="G89" s="5"/>
      <c r="H89" s="5"/>
      <c r="I89" s="5"/>
      <c r="J89" s="5"/>
      <c r="K89" s="5"/>
    </row>
    <row r="90" spans="2:11" x14ac:dyDescent="0.25">
      <c r="B90" s="1046"/>
      <c r="C90" s="92"/>
      <c r="D90" s="45" t="s">
        <v>1091</v>
      </c>
      <c r="E90" s="5"/>
      <c r="F90" s="5"/>
      <c r="G90" s="5"/>
      <c r="H90" s="5"/>
      <c r="I90" s="5"/>
      <c r="J90" s="5"/>
      <c r="K90" s="5"/>
    </row>
    <row r="91" spans="2:11" ht="49.5" x14ac:dyDescent="0.25">
      <c r="B91" s="1046"/>
      <c r="C91" s="92"/>
      <c r="D91" s="45" t="s">
        <v>1092</v>
      </c>
      <c r="E91" s="5"/>
      <c r="F91" s="5"/>
      <c r="G91" s="5"/>
      <c r="H91" s="5"/>
      <c r="I91" s="5"/>
      <c r="J91" s="5"/>
      <c r="K91" s="5"/>
    </row>
    <row r="92" spans="2:11" ht="60" x14ac:dyDescent="0.25">
      <c r="B92" s="1046"/>
      <c r="C92" s="92"/>
      <c r="D92" s="45" t="s">
        <v>1093</v>
      </c>
      <c r="E92" s="5"/>
      <c r="F92" s="5"/>
      <c r="G92" s="5"/>
      <c r="H92" s="5"/>
      <c r="I92" s="5"/>
      <c r="J92" s="5"/>
      <c r="K92" s="5"/>
    </row>
    <row r="93" spans="2:11" ht="48" x14ac:dyDescent="0.25">
      <c r="B93" s="1046"/>
      <c r="C93" s="92"/>
      <c r="D93" s="45" t="s">
        <v>1094</v>
      </c>
      <c r="E93" s="5"/>
      <c r="F93" s="5"/>
      <c r="G93" s="5"/>
      <c r="H93" s="5"/>
      <c r="I93" s="5"/>
      <c r="J93" s="5"/>
      <c r="K93" s="5"/>
    </row>
    <row r="94" spans="2:11" ht="24" x14ac:dyDescent="0.25">
      <c r="B94" s="1046"/>
      <c r="C94" s="92"/>
      <c r="D94" s="52" t="s">
        <v>1095</v>
      </c>
      <c r="E94" s="5"/>
      <c r="F94" s="5"/>
      <c r="G94" s="5"/>
      <c r="H94" s="5"/>
      <c r="I94" s="5"/>
      <c r="J94" s="5"/>
      <c r="K94" s="5"/>
    </row>
    <row r="95" spans="2:11" x14ac:dyDescent="0.25">
      <c r="B95" s="1046"/>
      <c r="C95" s="92"/>
      <c r="D95" s="16"/>
      <c r="E95" s="5"/>
      <c r="F95" s="5"/>
      <c r="G95" s="5"/>
      <c r="H95" s="5"/>
      <c r="I95" s="5"/>
      <c r="J95" s="5"/>
      <c r="K95" s="5"/>
    </row>
    <row r="96" spans="2:11" x14ac:dyDescent="0.25">
      <c r="B96" s="1046"/>
      <c r="C96" s="92"/>
      <c r="D96" s="45" t="s">
        <v>91</v>
      </c>
      <c r="E96" s="5"/>
      <c r="F96" s="5"/>
      <c r="G96" s="5"/>
      <c r="H96" s="5"/>
      <c r="I96" s="5"/>
      <c r="J96" s="5"/>
      <c r="K96" s="5"/>
    </row>
    <row r="97" spans="2:11" ht="37.5" x14ac:dyDescent="0.25">
      <c r="B97" s="1046"/>
      <c r="C97" s="92"/>
      <c r="D97" s="45" t="s">
        <v>1096</v>
      </c>
      <c r="E97" s="5"/>
      <c r="F97" s="5"/>
      <c r="G97" s="5"/>
      <c r="H97" s="5"/>
      <c r="I97" s="5"/>
      <c r="J97" s="5"/>
      <c r="K97" s="5"/>
    </row>
    <row r="98" spans="2:11" ht="25.5" x14ac:dyDescent="0.25">
      <c r="B98" s="1046"/>
      <c r="C98" s="92"/>
      <c r="D98" s="45" t="s">
        <v>1097</v>
      </c>
      <c r="E98" s="5"/>
      <c r="F98" s="5"/>
      <c r="G98" s="5"/>
      <c r="H98" s="5"/>
      <c r="I98" s="5"/>
      <c r="J98" s="5"/>
      <c r="K98" s="5"/>
    </row>
    <row r="99" spans="2:11" ht="37.5" x14ac:dyDescent="0.25">
      <c r="B99" s="1046"/>
      <c r="C99" s="92"/>
      <c r="D99" s="45" t="s">
        <v>1098</v>
      </c>
      <c r="E99" s="5"/>
      <c r="F99" s="5"/>
      <c r="G99" s="5"/>
      <c r="H99" s="5"/>
      <c r="I99" s="5"/>
      <c r="J99" s="5"/>
      <c r="K99" s="5"/>
    </row>
    <row r="100" spans="2:11" x14ac:dyDescent="0.25">
      <c r="B100" s="1046"/>
      <c r="C100" s="92"/>
      <c r="D100" s="57" t="s">
        <v>1099</v>
      </c>
      <c r="E100" s="5"/>
      <c r="F100" s="5"/>
      <c r="G100" s="5"/>
      <c r="H100" s="5"/>
      <c r="I100" s="5"/>
      <c r="J100" s="5"/>
      <c r="K100" s="5"/>
    </row>
    <row r="101" spans="2:11" ht="72" x14ac:dyDescent="0.25">
      <c r="B101" s="1046"/>
      <c r="C101" s="92"/>
      <c r="D101" s="45" t="s">
        <v>1100</v>
      </c>
      <c r="E101" s="5"/>
      <c r="F101" s="5"/>
      <c r="G101" s="5"/>
      <c r="H101" s="5"/>
      <c r="I101" s="5"/>
      <c r="J101" s="5"/>
      <c r="K101" s="5"/>
    </row>
    <row r="102" spans="2:11" ht="36" x14ac:dyDescent="0.25">
      <c r="B102" s="1046"/>
      <c r="C102" s="92"/>
      <c r="D102" s="52" t="s">
        <v>1101</v>
      </c>
      <c r="E102" s="5"/>
      <c r="F102" s="5"/>
      <c r="G102" s="5"/>
      <c r="H102" s="5"/>
      <c r="I102" s="5"/>
      <c r="J102" s="5"/>
      <c r="K102" s="5"/>
    </row>
    <row r="103" spans="2:11" x14ac:dyDescent="0.25">
      <c r="B103" s="1046"/>
      <c r="C103" s="92"/>
      <c r="D103" s="16"/>
      <c r="E103" s="5"/>
      <c r="F103" s="5"/>
      <c r="G103" s="5"/>
      <c r="H103" s="5"/>
      <c r="I103" s="5"/>
      <c r="J103" s="5"/>
      <c r="K103" s="5"/>
    </row>
    <row r="104" spans="2:11" x14ac:dyDescent="0.25">
      <c r="B104" s="1046"/>
      <c r="C104" s="92"/>
      <c r="D104" s="45" t="s">
        <v>91</v>
      </c>
      <c r="E104" s="5"/>
      <c r="F104" s="5"/>
      <c r="G104" s="5"/>
      <c r="H104" s="5"/>
      <c r="I104" s="5"/>
      <c r="J104" s="5"/>
      <c r="K104" s="5"/>
    </row>
    <row r="105" spans="2:11" ht="49.5" x14ac:dyDescent="0.25">
      <c r="B105" s="1046"/>
      <c r="C105" s="92"/>
      <c r="D105" s="45" t="s">
        <v>1102</v>
      </c>
      <c r="E105" s="5"/>
      <c r="F105" s="5"/>
      <c r="G105" s="5"/>
      <c r="H105" s="5"/>
      <c r="I105" s="5"/>
      <c r="J105" s="5"/>
      <c r="K105" s="5"/>
    </row>
    <row r="106" spans="2:11" ht="49.5" x14ac:dyDescent="0.25">
      <c r="B106" s="1046"/>
      <c r="C106" s="92"/>
      <c r="D106" s="45" t="s">
        <v>1103</v>
      </c>
      <c r="E106" s="5"/>
      <c r="F106" s="5"/>
      <c r="G106" s="5"/>
      <c r="H106" s="5"/>
      <c r="I106" s="5"/>
      <c r="J106" s="5"/>
      <c r="K106" s="5"/>
    </row>
    <row r="107" spans="2:11" ht="37.5" x14ac:dyDescent="0.25">
      <c r="B107" s="1046"/>
      <c r="C107" s="92"/>
      <c r="D107" s="45" t="s">
        <v>1104</v>
      </c>
      <c r="E107" s="5"/>
      <c r="F107" s="5"/>
      <c r="G107" s="5"/>
      <c r="H107" s="5"/>
      <c r="I107" s="5"/>
      <c r="J107" s="5"/>
      <c r="K107" s="5"/>
    </row>
    <row r="108" spans="2:11" ht="15.75" thickBot="1" x14ac:dyDescent="0.3">
      <c r="B108" s="1047"/>
      <c r="C108" s="2"/>
      <c r="D108" s="40" t="s">
        <v>1105</v>
      </c>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row r="181" spans="2:11" x14ac:dyDescent="0.25">
      <c r="B181" s="5"/>
      <c r="D181" s="5"/>
      <c r="E181" s="5"/>
      <c r="F181" s="5"/>
      <c r="G181" s="5"/>
      <c r="H181" s="5"/>
      <c r="I181" s="5"/>
      <c r="J181" s="5"/>
      <c r="K181" s="5"/>
    </row>
    <row r="182" spans="2:11" x14ac:dyDescent="0.25">
      <c r="B182" s="5"/>
      <c r="D182" s="5"/>
      <c r="E182" s="5"/>
      <c r="F182" s="5"/>
      <c r="G182" s="5"/>
      <c r="H182" s="5"/>
      <c r="I182" s="5"/>
      <c r="J182" s="5"/>
      <c r="K182" s="5"/>
    </row>
    <row r="183" spans="2:11" x14ac:dyDescent="0.25">
      <c r="B183" s="5"/>
      <c r="D183" s="5"/>
      <c r="E183" s="5"/>
      <c r="F183" s="5"/>
      <c r="G183" s="5"/>
      <c r="H183" s="5"/>
      <c r="I183" s="5"/>
      <c r="J183" s="5"/>
      <c r="K183" s="5"/>
    </row>
  </sheetData>
  <mergeCells count="26">
    <mergeCell ref="A1:P1"/>
    <mergeCell ref="A2:P2"/>
    <mergeCell ref="A3:P3"/>
    <mergeCell ref="A4:D4"/>
    <mergeCell ref="A5:P5"/>
    <mergeCell ref="B10:D10"/>
    <mergeCell ref="F10:S10"/>
    <mergeCell ref="F11:S11"/>
    <mergeCell ref="E12:R12"/>
    <mergeCell ref="E13:R13"/>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B65:B76"/>
  </mergeCells>
  <conditionalFormatting sqref="F10">
    <cfRule type="notContainsBlanks" dxfId="20" priority="4">
      <formula>LEN(TRIM(F10))&gt;0</formula>
    </cfRule>
  </conditionalFormatting>
  <conditionalFormatting sqref="F11:S11">
    <cfRule type="expression" dxfId="19" priority="2">
      <formula>E11="NO SE REPORTA"</formula>
    </cfRule>
    <cfRule type="expression" dxfId="18" priority="3">
      <formula>E10="NO APLICA"</formula>
    </cfRule>
  </conditionalFormatting>
  <conditionalFormatting sqref="E12:R12">
    <cfRule type="expression" dxfId="17"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formula1>0</formula1>
    </dataValidation>
    <dataValidation allowBlank="1" showInputMessage="1" showErrorMessage="1" promptTitle="OJO" prompt="NO TOCAR" sqref="E21:G21 E27:F27"/>
    <dataValidation type="list" allowBlank="1" showInputMessage="1" showErrorMessage="1" sqref="E11">
      <formula1>REPORTE</formula1>
    </dataValidation>
    <dataValidation type="list" allowBlank="1" showInputMessage="1" showErrorMessage="1" sqref="E10">
      <formula1>SI</formula1>
    </dataValidation>
  </dataValidations>
  <hyperlinks>
    <hyperlink ref="D75" r:id="rId1" display="http://www.sisaire.gov.co/"/>
    <hyperlink ref="D76" r:id="rId2" display="http://www.sirh.ideam.gov.co/"/>
    <hyperlink ref="B9" location="'ANEXO 3'!A1" display="VOLVER AL INDICE"/>
  </hyperlinks>
  <pageMargins left="0.25" right="0.25" top="0.75" bottom="0.75" header="0.3" footer="0.3"/>
  <pageSetup paperSize="178" orientation="landscape" horizontalDpi="1200" verticalDpi="1200"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4"/>
  <sheetViews>
    <sheetView showGridLines="0" zoomScale="98" zoomScaleNormal="98" workbookViewId="0">
      <selection activeCell="Q64" sqref="Q64"/>
    </sheetView>
  </sheetViews>
  <sheetFormatPr baseColWidth="10" defaultRowHeight="15" x14ac:dyDescent="0.25"/>
  <cols>
    <col min="1" max="1" width="1.85546875" customWidth="1"/>
    <col min="2" max="2" width="11.140625" customWidth="1"/>
    <col min="3" max="3" width="5" style="85" bestFit="1" customWidth="1"/>
    <col min="4" max="4" width="34.85546875" customWidth="1"/>
    <col min="5" max="5" width="12.140625" customWidth="1"/>
    <col min="6" max="6" width="11.7109375" customWidth="1"/>
    <col min="9" max="9" width="12.28515625" customWidth="1"/>
    <col min="11" max="11" width="13.710937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1121</v>
      </c>
      <c r="B5" s="1008"/>
      <c r="C5" s="1008"/>
      <c r="D5" s="1008"/>
      <c r="E5" s="1008"/>
      <c r="F5" s="1008"/>
      <c r="G5" s="1008"/>
      <c r="H5" s="1008"/>
      <c r="I5" s="1008"/>
      <c r="J5" s="1008"/>
      <c r="K5" s="1008"/>
      <c r="L5" s="1008"/>
      <c r="M5" s="1008"/>
      <c r="N5" s="1008"/>
      <c r="O5" s="1008"/>
      <c r="P5" s="1009"/>
    </row>
    <row r="6" spans="1:21" x14ac:dyDescent="0.25">
      <c r="B6" s="1" t="s">
        <v>1</v>
      </c>
      <c r="C6" s="74"/>
      <c r="D6" s="5"/>
      <c r="E6" s="72"/>
      <c r="F6" s="5" t="s">
        <v>128</v>
      </c>
      <c r="G6" s="5"/>
      <c r="H6" s="5"/>
      <c r="I6" s="5"/>
      <c r="J6" s="5"/>
      <c r="K6" s="5"/>
    </row>
    <row r="7" spans="1:21" ht="15.75" thickBot="1" x14ac:dyDescent="0.3">
      <c r="B7" s="73"/>
      <c r="C7" s="75"/>
      <c r="D7" s="5"/>
      <c r="E7" s="17"/>
      <c r="F7" s="5" t="s">
        <v>129</v>
      </c>
      <c r="G7" s="5"/>
      <c r="H7" s="5"/>
      <c r="I7" s="5"/>
      <c r="J7" s="5"/>
      <c r="K7" s="5"/>
    </row>
    <row r="8" spans="1:21" ht="15.75" thickBot="1" x14ac:dyDescent="0.3">
      <c r="B8" s="168" t="s">
        <v>1192</v>
      </c>
      <c r="C8" s="209">
        <v>2022</v>
      </c>
      <c r="D8" s="214">
        <f>IF(E10="NO APLICA","NO APLICA",IF(E11="NO SE REPORTA","SIN INFORMACION",+E42))</f>
        <v>1</v>
      </c>
      <c r="E8" s="210"/>
      <c r="F8" s="5" t="s">
        <v>130</v>
      </c>
      <c r="G8" s="5"/>
      <c r="H8" s="5"/>
      <c r="I8" s="5"/>
      <c r="J8" s="5"/>
      <c r="K8" s="5"/>
    </row>
    <row r="9" spans="1:21" x14ac:dyDescent="0.25">
      <c r="B9" s="381" t="s">
        <v>1193</v>
      </c>
      <c r="C9" s="86"/>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82"/>
      <c r="C11" s="86"/>
      <c r="D11" s="169" t="str">
        <f>IF(E10="SI APLICA","¿El indicador no se reporta por limitaciones de información disponible? ","")</f>
        <v xml:space="preserve">¿El indicador no se reporta por limitaciones de información disponible? </v>
      </c>
      <c r="E11" s="367" t="s">
        <v>1249</v>
      </c>
      <c r="F11" s="1016"/>
      <c r="G11" s="1017"/>
      <c r="H11" s="1017"/>
      <c r="I11" s="1017"/>
      <c r="J11" s="1017"/>
      <c r="K11" s="1017"/>
      <c r="L11" s="1017"/>
      <c r="M11" s="1017"/>
      <c r="N11" s="1017"/>
      <c r="O11" s="1017"/>
      <c r="P11" s="1017"/>
      <c r="Q11" s="1017"/>
      <c r="R11" s="1017"/>
      <c r="S11" s="1017"/>
    </row>
    <row r="12" spans="1:21" ht="23.45" customHeight="1" x14ac:dyDescent="0.25">
      <c r="B12" s="381"/>
      <c r="C12" s="86"/>
      <c r="D12" s="169" t="str">
        <f>IF(E11="SI SE REPORTA","¿Qué programas o proyectos del Plan de Acción están asociados al indicador? ","")</f>
        <v xml:space="preserve">¿Qué programas o proyectos del Plan de Acción están asociados al indicador? </v>
      </c>
      <c r="E12" s="1018" t="s">
        <v>1937</v>
      </c>
      <c r="F12" s="1018"/>
      <c r="G12" s="1018"/>
      <c r="H12" s="1018"/>
      <c r="I12" s="1018"/>
      <c r="J12" s="1018"/>
      <c r="K12" s="1018"/>
      <c r="L12" s="1018"/>
      <c r="M12" s="1018"/>
      <c r="N12" s="1018"/>
      <c r="O12" s="1018"/>
      <c r="P12" s="1018"/>
      <c r="Q12" s="1018"/>
      <c r="R12" s="1018"/>
    </row>
    <row r="13" spans="1:21" ht="21.95" customHeight="1" x14ac:dyDescent="0.25">
      <c r="B13" s="381"/>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81"/>
      <c r="C14" s="86"/>
      <c r="D14" s="5"/>
      <c r="E14" s="5"/>
      <c r="F14" s="5"/>
      <c r="G14" s="5"/>
      <c r="H14" s="5"/>
      <c r="I14" s="5"/>
      <c r="J14" s="5"/>
      <c r="K14" s="5"/>
    </row>
    <row r="15" spans="1:21" ht="15.75" thickBot="1" x14ac:dyDescent="0.3">
      <c r="B15" s="1045" t="s">
        <v>2</v>
      </c>
      <c r="C15" s="87"/>
      <c r="D15" s="1036" t="s">
        <v>336</v>
      </c>
      <c r="E15" s="1037"/>
      <c r="F15" s="1037"/>
      <c r="G15" s="1037"/>
      <c r="H15" s="1037"/>
      <c r="I15" s="1037"/>
      <c r="J15" s="1037"/>
      <c r="K15" s="1038"/>
      <c r="L15" s="186"/>
      <c r="M15" s="186"/>
      <c r="N15" s="186"/>
      <c r="O15" s="186"/>
      <c r="P15" s="186"/>
      <c r="Q15" s="186"/>
      <c r="R15" s="186"/>
    </row>
    <row r="16" spans="1:21" ht="15.75" thickBot="1" x14ac:dyDescent="0.3">
      <c r="B16" s="1046"/>
      <c r="C16" s="88" t="s">
        <v>19</v>
      </c>
      <c r="D16" s="38" t="s">
        <v>253</v>
      </c>
      <c r="E16" s="38" t="s">
        <v>20</v>
      </c>
      <c r="F16" s="38" t="s">
        <v>21</v>
      </c>
      <c r="G16" s="38" t="s">
        <v>22</v>
      </c>
      <c r="H16" s="38" t="s">
        <v>23</v>
      </c>
      <c r="I16" s="38" t="s">
        <v>254</v>
      </c>
      <c r="K16" s="21"/>
      <c r="L16" s="186"/>
      <c r="M16" s="186"/>
      <c r="N16" s="186"/>
      <c r="O16" s="186"/>
      <c r="P16" s="186"/>
      <c r="Q16" s="186"/>
      <c r="R16" s="186"/>
    </row>
    <row r="17" spans="2:18" ht="24.75" thickBot="1" x14ac:dyDescent="0.3">
      <c r="B17" s="1046"/>
      <c r="C17" s="89" t="s">
        <v>152</v>
      </c>
      <c r="D17" s="40" t="s">
        <v>1149</v>
      </c>
      <c r="E17" s="6">
        <v>2</v>
      </c>
      <c r="F17" s="6">
        <v>2</v>
      </c>
      <c r="G17" s="6">
        <v>2</v>
      </c>
      <c r="H17" s="6">
        <v>2</v>
      </c>
      <c r="I17" s="41">
        <f>SUM(E17:H17)</f>
        <v>8</v>
      </c>
      <c r="K17" s="21"/>
      <c r="L17" s="186"/>
      <c r="M17" s="186"/>
      <c r="N17" s="186"/>
      <c r="O17" s="186"/>
      <c r="P17" s="186"/>
      <c r="Q17" s="186"/>
      <c r="R17" s="186"/>
    </row>
    <row r="18" spans="2:18" ht="15.75" thickBot="1" x14ac:dyDescent="0.3">
      <c r="B18" s="1046"/>
      <c r="C18" s="89" t="s">
        <v>154</v>
      </c>
      <c r="D18" s="40" t="s">
        <v>774</v>
      </c>
      <c r="E18" s="184">
        <v>357921949</v>
      </c>
      <c r="F18" s="184">
        <v>600000000</v>
      </c>
      <c r="G18" s="184">
        <v>730000000</v>
      </c>
      <c r="H18" s="184"/>
      <c r="I18" s="132">
        <f>SUM(E18:H18)</f>
        <v>1687921949</v>
      </c>
      <c r="K18" s="21"/>
      <c r="L18" s="186"/>
      <c r="M18" s="186"/>
      <c r="N18" s="186"/>
      <c r="O18" s="186"/>
      <c r="P18" s="186"/>
      <c r="Q18" s="186"/>
      <c r="R18" s="186"/>
    </row>
    <row r="19" spans="2:18" ht="15.75" thickBot="1" x14ac:dyDescent="0.3">
      <c r="B19" s="1046"/>
      <c r="C19" s="89" t="s">
        <v>156</v>
      </c>
      <c r="D19" s="40" t="s">
        <v>831</v>
      </c>
      <c r="E19" s="184">
        <v>767921949</v>
      </c>
      <c r="F19" s="184">
        <v>7452317273</v>
      </c>
      <c r="G19" s="184">
        <v>6571099166</v>
      </c>
      <c r="H19" s="184"/>
      <c r="I19" s="132">
        <f>SUM(E19:H19)</f>
        <v>14791338388</v>
      </c>
      <c r="K19" s="21"/>
      <c r="L19" s="186"/>
      <c r="M19" s="186"/>
      <c r="N19" s="186"/>
      <c r="O19" s="186"/>
      <c r="P19" s="186"/>
      <c r="Q19" s="186"/>
      <c r="R19" s="186"/>
    </row>
    <row r="20" spans="2:18" x14ac:dyDescent="0.25">
      <c r="B20" s="1046"/>
      <c r="C20" s="90"/>
      <c r="D20" s="1027"/>
      <c r="E20" s="1028"/>
      <c r="F20" s="1028"/>
      <c r="G20" s="1028"/>
      <c r="H20" s="1028"/>
      <c r="I20" s="1028"/>
      <c r="J20" s="1028"/>
      <c r="K20" s="1029"/>
      <c r="L20" s="186"/>
      <c r="M20" s="186"/>
      <c r="N20" s="186"/>
      <c r="O20" s="186"/>
      <c r="P20" s="186"/>
      <c r="Q20" s="186"/>
      <c r="R20" s="186"/>
    </row>
    <row r="21" spans="2:18" ht="15.75" thickBot="1" x14ac:dyDescent="0.3">
      <c r="B21" s="1046"/>
      <c r="C21" s="90"/>
      <c r="D21" s="1051" t="s">
        <v>1150</v>
      </c>
      <c r="E21" s="1052"/>
      <c r="F21" s="1052"/>
      <c r="G21" s="1052"/>
      <c r="H21" s="1052"/>
      <c r="I21" s="1052"/>
      <c r="J21" s="1052"/>
      <c r="K21" s="1053"/>
      <c r="L21" s="186"/>
      <c r="M21" s="186"/>
      <c r="N21" s="186"/>
      <c r="O21" s="186"/>
      <c r="P21" s="186"/>
      <c r="Q21" s="186"/>
      <c r="R21" s="186"/>
    </row>
    <row r="22" spans="2:18" ht="15.75" thickBot="1" x14ac:dyDescent="0.3">
      <c r="B22" s="1046"/>
      <c r="C22" s="1093" t="s">
        <v>19</v>
      </c>
      <c r="D22" s="1045" t="s">
        <v>270</v>
      </c>
      <c r="E22" s="1048" t="s">
        <v>620</v>
      </c>
      <c r="F22" s="1050"/>
      <c r="G22" s="1048" t="s">
        <v>693</v>
      </c>
      <c r="H22" s="1049"/>
      <c r="I22" s="1049"/>
      <c r="J22" s="1050"/>
      <c r="K22" s="112"/>
      <c r="L22" s="186"/>
      <c r="M22" s="186"/>
      <c r="N22" s="186"/>
      <c r="O22" s="186"/>
      <c r="P22" s="186"/>
      <c r="Q22" s="186"/>
      <c r="R22" s="186"/>
    </row>
    <row r="23" spans="2:18" ht="36.75" thickBot="1" x14ac:dyDescent="0.3">
      <c r="B23" s="1046"/>
      <c r="C23" s="1094"/>
      <c r="D23" s="1047"/>
      <c r="E23" s="40" t="s">
        <v>621</v>
      </c>
      <c r="F23" s="42" t="s">
        <v>622</v>
      </c>
      <c r="G23" s="40" t="s">
        <v>774</v>
      </c>
      <c r="H23" s="40" t="s">
        <v>344</v>
      </c>
      <c r="I23" s="40" t="s">
        <v>274</v>
      </c>
      <c r="J23" s="40" t="s">
        <v>275</v>
      </c>
      <c r="K23" s="40" t="s">
        <v>55</v>
      </c>
      <c r="L23" s="186"/>
      <c r="M23" s="186"/>
      <c r="N23" s="186"/>
      <c r="O23" s="186"/>
      <c r="P23" s="186"/>
      <c r="Q23" s="186"/>
      <c r="R23" s="186"/>
    </row>
    <row r="24" spans="2:18" ht="24.75" thickBot="1" x14ac:dyDescent="0.3">
      <c r="B24" s="1046"/>
      <c r="C24" s="89">
        <v>1</v>
      </c>
      <c r="D24" s="338" t="s">
        <v>1795</v>
      </c>
      <c r="E24" s="31">
        <v>0.92</v>
      </c>
      <c r="F24" s="31">
        <v>1</v>
      </c>
      <c r="G24" s="184">
        <v>625000000</v>
      </c>
      <c r="H24" s="184">
        <v>1639594000</v>
      </c>
      <c r="I24" s="184">
        <v>1630096277</v>
      </c>
      <c r="J24" s="184">
        <v>1148471277</v>
      </c>
      <c r="K24" s="184"/>
      <c r="L24" s="186"/>
      <c r="M24" s="186"/>
      <c r="N24" s="186"/>
      <c r="O24" s="186"/>
      <c r="P24" s="186"/>
      <c r="Q24" s="186"/>
      <c r="R24" s="186"/>
    </row>
    <row r="25" spans="2:18" ht="24.75" thickBot="1" x14ac:dyDescent="0.3">
      <c r="B25" s="1046"/>
      <c r="C25" s="89">
        <v>2</v>
      </c>
      <c r="D25" s="338" t="s">
        <v>1796</v>
      </c>
      <c r="E25" s="31">
        <v>0.97</v>
      </c>
      <c r="F25" s="31">
        <v>1</v>
      </c>
      <c r="G25" s="184">
        <v>105000000</v>
      </c>
      <c r="H25" s="184">
        <v>4931505166</v>
      </c>
      <c r="I25" s="184">
        <v>4922893668</v>
      </c>
      <c r="J25" s="184">
        <v>1196554479</v>
      </c>
      <c r="K25" s="184"/>
      <c r="L25" s="186"/>
      <c r="M25" s="186"/>
      <c r="N25" s="186"/>
      <c r="O25" s="186"/>
      <c r="P25" s="186"/>
      <c r="Q25" s="186"/>
      <c r="R25" s="186"/>
    </row>
    <row r="26" spans="2:18" ht="15.75" thickBot="1" x14ac:dyDescent="0.3">
      <c r="B26" s="1046"/>
      <c r="C26" s="89">
        <v>3</v>
      </c>
      <c r="D26" s="158"/>
      <c r="E26" s="31"/>
      <c r="F26" s="31"/>
      <c r="G26" s="184"/>
      <c r="H26" s="184"/>
      <c r="I26" s="184"/>
      <c r="J26" s="184"/>
      <c r="K26" s="184"/>
      <c r="L26" s="186"/>
      <c r="M26" s="186"/>
      <c r="N26" s="186"/>
      <c r="O26" s="186"/>
      <c r="P26" s="186"/>
      <c r="Q26" s="186"/>
      <c r="R26" s="186"/>
    </row>
    <row r="27" spans="2:18" ht="15.75" thickBot="1" x14ac:dyDescent="0.3">
      <c r="B27" s="1046"/>
      <c r="C27" s="89">
        <v>4</v>
      </c>
      <c r="D27" s="158"/>
      <c r="E27" s="31"/>
      <c r="F27" s="31"/>
      <c r="G27" s="184"/>
      <c r="H27" s="184"/>
      <c r="I27" s="184"/>
      <c r="J27" s="184"/>
      <c r="K27" s="184"/>
      <c r="L27" s="186"/>
      <c r="M27" s="186"/>
      <c r="N27" s="186"/>
      <c r="O27" s="186"/>
      <c r="P27" s="186"/>
      <c r="Q27" s="186"/>
      <c r="R27" s="186"/>
    </row>
    <row r="28" spans="2:18" ht="15.75" thickBot="1" x14ac:dyDescent="0.3">
      <c r="B28" s="1046"/>
      <c r="C28" s="89">
        <v>5</v>
      </c>
      <c r="D28" s="158"/>
      <c r="E28" s="31"/>
      <c r="F28" s="31"/>
      <c r="G28" s="184"/>
      <c r="H28" s="184"/>
      <c r="I28" s="184"/>
      <c r="J28" s="184"/>
      <c r="K28" s="184"/>
      <c r="L28" s="186"/>
      <c r="M28" s="186"/>
      <c r="N28" s="186"/>
      <c r="O28" s="186"/>
      <c r="P28" s="186"/>
      <c r="Q28" s="186"/>
      <c r="R28" s="186"/>
    </row>
    <row r="29" spans="2:18" ht="15.75" thickBot="1" x14ac:dyDescent="0.3">
      <c r="B29" s="1046"/>
      <c r="C29" s="89">
        <v>6</v>
      </c>
      <c r="D29" s="158"/>
      <c r="E29" s="31"/>
      <c r="F29" s="31"/>
      <c r="G29" s="184"/>
      <c r="H29" s="184"/>
      <c r="I29" s="184"/>
      <c r="J29" s="184"/>
      <c r="K29" s="184"/>
      <c r="L29" s="186"/>
      <c r="M29" s="186"/>
      <c r="N29" s="186"/>
      <c r="O29" s="186"/>
      <c r="P29" s="186"/>
      <c r="Q29" s="186"/>
      <c r="R29" s="186"/>
    </row>
    <row r="30" spans="2:18" ht="15.75" thickBot="1" x14ac:dyDescent="0.3">
      <c r="B30" s="1046"/>
      <c r="C30" s="74"/>
      <c r="D30" s="44" t="s">
        <v>151</v>
      </c>
      <c r="E30" s="1"/>
      <c r="F30" s="1"/>
      <c r="G30" s="133">
        <f>SUM(G24:G29)</f>
        <v>730000000</v>
      </c>
      <c r="H30" s="133">
        <f>SUM(H24:H29)</f>
        <v>6571099166</v>
      </c>
      <c r="I30" s="133">
        <f>SUM(I24:I29)</f>
        <v>6552989945</v>
      </c>
      <c r="J30" s="133">
        <f>SUM(J24:J29)</f>
        <v>2345025756</v>
      </c>
      <c r="K30" s="184"/>
      <c r="L30" s="186"/>
      <c r="M30" s="186"/>
      <c r="N30" s="186"/>
      <c r="O30" s="186"/>
      <c r="P30" s="186"/>
      <c r="Q30" s="186"/>
      <c r="R30" s="186"/>
    </row>
    <row r="31" spans="2:18" x14ac:dyDescent="0.25">
      <c r="B31" s="1046"/>
      <c r="C31" s="90"/>
      <c r="D31" s="1027" t="s">
        <v>833</v>
      </c>
      <c r="E31" s="1028"/>
      <c r="F31" s="1028"/>
      <c r="G31" s="1028"/>
      <c r="H31" s="1028"/>
      <c r="I31" s="1028"/>
      <c r="J31" s="1028"/>
      <c r="K31" s="1029"/>
      <c r="L31" s="186"/>
      <c r="M31" s="186"/>
      <c r="N31" s="186"/>
      <c r="O31" s="186"/>
      <c r="P31" s="186"/>
      <c r="Q31" s="186"/>
      <c r="R31" s="186"/>
    </row>
    <row r="32" spans="2:18" ht="15.75" thickBot="1" x14ac:dyDescent="0.3">
      <c r="B32" s="1046"/>
      <c r="C32" s="90"/>
      <c r="D32" s="1027" t="s">
        <v>1151</v>
      </c>
      <c r="E32" s="1028"/>
      <c r="F32" s="1028"/>
      <c r="G32" s="1028"/>
      <c r="H32" s="1028"/>
      <c r="I32" s="1028"/>
      <c r="J32" s="1028"/>
      <c r="K32" s="1029"/>
      <c r="L32" s="186"/>
      <c r="M32" s="186"/>
      <c r="N32" s="186"/>
      <c r="O32" s="186"/>
      <c r="P32" s="186"/>
      <c r="Q32" s="186"/>
      <c r="R32" s="186"/>
    </row>
    <row r="33" spans="2:18" ht="15.75" thickBot="1" x14ac:dyDescent="0.3">
      <c r="B33" s="1046"/>
      <c r="C33" s="1093" t="s">
        <v>19</v>
      </c>
      <c r="D33" s="1225" t="s">
        <v>698</v>
      </c>
      <c r="E33" s="38" t="s">
        <v>835</v>
      </c>
      <c r="F33" s="1139" t="s">
        <v>699</v>
      </c>
      <c r="G33" s="1148"/>
      <c r="H33" s="42"/>
      <c r="I33" s="5"/>
      <c r="K33" s="21"/>
      <c r="L33" s="186"/>
      <c r="M33" s="186"/>
      <c r="N33" s="186"/>
      <c r="O33" s="186"/>
      <c r="P33" s="186"/>
      <c r="Q33" s="186"/>
      <c r="R33" s="186"/>
    </row>
    <row r="34" spans="2:18" x14ac:dyDescent="0.25">
      <c r="B34" s="1046"/>
      <c r="C34" s="1224"/>
      <c r="D34" s="1226"/>
      <c r="E34" s="1045" t="s">
        <v>1152</v>
      </c>
      <c r="F34" s="1045" t="s">
        <v>700</v>
      </c>
      <c r="G34" s="45" t="s">
        <v>701</v>
      </c>
      <c r="H34" s="1045" t="s">
        <v>55</v>
      </c>
      <c r="I34" s="5"/>
      <c r="K34" s="21"/>
      <c r="L34" s="186"/>
      <c r="M34" s="186"/>
      <c r="N34" s="186"/>
      <c r="O34" s="186"/>
      <c r="P34" s="186"/>
      <c r="Q34" s="186"/>
      <c r="R34" s="186"/>
    </row>
    <row r="35" spans="2:18" ht="24.75" thickBot="1" x14ac:dyDescent="0.3">
      <c r="B35" s="1046"/>
      <c r="C35" s="1094"/>
      <c r="D35" s="1227"/>
      <c r="E35" s="1047"/>
      <c r="F35" s="1047"/>
      <c r="G35" s="40" t="s">
        <v>695</v>
      </c>
      <c r="H35" s="1047"/>
      <c r="I35" s="5"/>
      <c r="K35" s="21"/>
      <c r="L35" s="186"/>
      <c r="M35" s="186"/>
      <c r="N35" s="186"/>
      <c r="O35" s="186"/>
      <c r="P35" s="186"/>
      <c r="Q35" s="186"/>
      <c r="R35" s="186"/>
    </row>
    <row r="36" spans="2:18" ht="15.75" thickBot="1" x14ac:dyDescent="0.3">
      <c r="B36" s="1046"/>
      <c r="C36" s="2">
        <v>1</v>
      </c>
      <c r="D36" s="155">
        <v>0.5</v>
      </c>
      <c r="E36" s="263">
        <f>+F24</f>
        <v>1</v>
      </c>
      <c r="F36" s="383">
        <f>IFERROR(I24/H24,0)</f>
        <v>0.99420727143426968</v>
      </c>
      <c r="G36" s="383">
        <f>IFERROR(J24/I24,0)</f>
        <v>0.70454199129491046</v>
      </c>
      <c r="H36" s="30"/>
      <c r="I36" s="5"/>
      <c r="J36" s="384"/>
      <c r="K36" s="21"/>
      <c r="L36" s="186"/>
      <c r="M36" s="186"/>
      <c r="N36" s="186"/>
      <c r="O36" s="186"/>
      <c r="P36" s="186"/>
      <c r="Q36" s="186"/>
      <c r="R36" s="186"/>
    </row>
    <row r="37" spans="2:18" ht="15.75" thickBot="1" x14ac:dyDescent="0.3">
      <c r="B37" s="1046"/>
      <c r="C37" s="2">
        <v>2</v>
      </c>
      <c r="D37" s="155">
        <v>0.5</v>
      </c>
      <c r="E37" s="263">
        <f>+F25</f>
        <v>1</v>
      </c>
      <c r="F37" s="383">
        <f>IFERROR(I25/H25,0)</f>
        <v>0.99825377897616907</v>
      </c>
      <c r="G37" s="383">
        <f t="shared" ref="G37:G42" si="0">IFERROR(J25/I25,0)</f>
        <v>0.24305917610569036</v>
      </c>
      <c r="H37" s="30"/>
      <c r="I37" s="5"/>
      <c r="K37" s="21"/>
      <c r="L37" s="186"/>
      <c r="M37" s="186"/>
      <c r="N37" s="186"/>
      <c r="O37" s="186"/>
      <c r="P37" s="186"/>
      <c r="Q37" s="186"/>
      <c r="R37" s="186"/>
    </row>
    <row r="38" spans="2:18" ht="15.75" thickBot="1" x14ac:dyDescent="0.3">
      <c r="B38" s="1046"/>
      <c r="C38" s="2">
        <v>3</v>
      </c>
      <c r="D38" s="155"/>
      <c r="E38" s="263">
        <v>0</v>
      </c>
      <c r="F38" s="383">
        <v>0</v>
      </c>
      <c r="G38" s="383">
        <f t="shared" si="0"/>
        <v>0</v>
      </c>
      <c r="H38" s="30"/>
      <c r="I38" s="5"/>
      <c r="K38" s="21"/>
      <c r="L38" s="186"/>
      <c r="M38" s="186"/>
      <c r="N38" s="186"/>
      <c r="O38" s="186"/>
      <c r="P38" s="186"/>
      <c r="Q38" s="186"/>
      <c r="R38" s="186"/>
    </row>
    <row r="39" spans="2:18" ht="15.75" thickBot="1" x14ac:dyDescent="0.3">
      <c r="B39" s="1046"/>
      <c r="C39" s="2">
        <v>4</v>
      </c>
      <c r="D39" s="155"/>
      <c r="E39" s="263">
        <f>+F27</f>
        <v>0</v>
      </c>
      <c r="F39" s="383">
        <f>IFERROR(I27/H27,0)</f>
        <v>0</v>
      </c>
      <c r="G39" s="383">
        <f t="shared" si="0"/>
        <v>0</v>
      </c>
      <c r="H39" s="30"/>
      <c r="I39" s="5"/>
      <c r="K39" s="21"/>
      <c r="L39" s="186"/>
      <c r="M39" s="186"/>
      <c r="N39" s="186"/>
      <c r="O39" s="186"/>
      <c r="P39" s="186"/>
      <c r="Q39" s="186"/>
      <c r="R39" s="186"/>
    </row>
    <row r="40" spans="2:18" ht="15.75" thickBot="1" x14ac:dyDescent="0.3">
      <c r="B40" s="1046"/>
      <c r="C40" s="2">
        <v>5</v>
      </c>
      <c r="D40" s="155"/>
      <c r="E40" s="263">
        <f>+F28</f>
        <v>0</v>
      </c>
      <c r="F40" s="383">
        <f>IFERROR(I28/H28,0)</f>
        <v>0</v>
      </c>
      <c r="G40" s="383">
        <f t="shared" si="0"/>
        <v>0</v>
      </c>
      <c r="H40" s="30"/>
      <c r="I40" s="5"/>
      <c r="K40" s="21"/>
      <c r="L40" s="186"/>
      <c r="M40" s="186"/>
      <c r="N40" s="186"/>
      <c r="O40" s="186"/>
      <c r="P40" s="186"/>
      <c r="Q40" s="186"/>
      <c r="R40" s="186"/>
    </row>
    <row r="41" spans="2:18" ht="15.75" thickBot="1" x14ac:dyDescent="0.3">
      <c r="B41" s="1046"/>
      <c r="C41" s="2">
        <v>6</v>
      </c>
      <c r="D41" s="155"/>
      <c r="E41" s="263">
        <f>+F29</f>
        <v>0</v>
      </c>
      <c r="F41" s="383">
        <f>IFERROR(I29/H29,0)</f>
        <v>0</v>
      </c>
      <c r="G41" s="383">
        <f t="shared" si="0"/>
        <v>0</v>
      </c>
      <c r="H41" s="30"/>
      <c r="I41" s="5"/>
      <c r="K41" s="21"/>
      <c r="L41" s="186"/>
      <c r="M41" s="186"/>
      <c r="N41" s="186"/>
      <c r="O41" s="186"/>
      <c r="P41" s="186"/>
      <c r="Q41" s="186"/>
      <c r="R41" s="186"/>
    </row>
    <row r="42" spans="2:18" ht="15.75" thickBot="1" x14ac:dyDescent="0.3">
      <c r="B42" s="1047"/>
      <c r="C42" s="2"/>
      <c r="D42" s="156">
        <f>+Formulas!D31</f>
        <v>1</v>
      </c>
      <c r="E42" s="385">
        <f>+D36*E36+D37*E37+D38*E38+D39*E39+D40*E40+D41*E41</f>
        <v>1</v>
      </c>
      <c r="F42" s="385">
        <f>+D36*F36+D37*F37+D38*F38+D39*F39+D40*F40+D41*F41</f>
        <v>0.99623052520521937</v>
      </c>
      <c r="G42" s="383">
        <f t="shared" si="0"/>
        <v>0.35785584529841669</v>
      </c>
      <c r="H42" s="30"/>
      <c r="I42" s="22"/>
      <c r="K42" s="23"/>
      <c r="L42" s="186"/>
      <c r="M42" s="186" t="s">
        <v>1202</v>
      </c>
      <c r="N42" s="186"/>
      <c r="O42" s="186"/>
      <c r="P42" s="186"/>
      <c r="Q42" s="186"/>
      <c r="R42" s="186"/>
    </row>
    <row r="43" spans="2:18" ht="24" customHeight="1" thickBot="1" x14ac:dyDescent="0.3">
      <c r="B43" s="177" t="s">
        <v>34</v>
      </c>
      <c r="C43" s="84"/>
      <c r="D43" s="1231" t="s">
        <v>1153</v>
      </c>
      <c r="E43" s="1232"/>
      <c r="F43" s="1232"/>
      <c r="G43" s="1232"/>
      <c r="H43" s="1232"/>
      <c r="I43" s="1232"/>
      <c r="J43" s="1232"/>
      <c r="K43" s="1233"/>
      <c r="L43" s="186"/>
      <c r="M43" s="186"/>
      <c r="N43" s="186"/>
      <c r="O43" s="186"/>
      <c r="P43" s="186"/>
      <c r="Q43" s="186"/>
      <c r="R43" s="186"/>
    </row>
    <row r="44" spans="2:18" ht="36.75" thickBot="1" x14ac:dyDescent="0.3">
      <c r="B44" s="177" t="s">
        <v>36</v>
      </c>
      <c r="C44" s="84"/>
      <c r="D44" s="1231" t="s">
        <v>346</v>
      </c>
      <c r="E44" s="1232"/>
      <c r="F44" s="1232"/>
      <c r="G44" s="1232"/>
      <c r="H44" s="1232"/>
      <c r="I44" s="1232"/>
      <c r="J44" s="1232"/>
      <c r="K44" s="1233"/>
      <c r="L44" s="186"/>
      <c r="M44" s="186"/>
      <c r="N44" s="186"/>
      <c r="O44" s="186"/>
      <c r="P44" s="186"/>
      <c r="Q44" s="186"/>
      <c r="R44" s="186"/>
    </row>
    <row r="45" spans="2:18" ht="15.75" thickBot="1" x14ac:dyDescent="0.3">
      <c r="B45" s="7"/>
      <c r="C45" s="79"/>
      <c r="D45" s="18"/>
      <c r="E45" s="18"/>
      <c r="F45" s="18"/>
      <c r="G45" s="18"/>
      <c r="H45" s="18"/>
      <c r="I45" s="18"/>
      <c r="J45" s="18"/>
      <c r="K45" s="18"/>
      <c r="L45" s="186"/>
      <c r="M45" s="186"/>
      <c r="N45" s="186"/>
      <c r="O45" s="186"/>
      <c r="P45" s="186"/>
      <c r="Q45" s="186"/>
      <c r="R45" s="186"/>
    </row>
    <row r="46" spans="2:18" ht="24" customHeight="1" thickBot="1" x14ac:dyDescent="0.3">
      <c r="B46" s="1228" t="s">
        <v>38</v>
      </c>
      <c r="C46" s="1229"/>
      <c r="D46" s="1229"/>
      <c r="E46" s="1230"/>
      <c r="F46" s="18"/>
      <c r="G46" s="18"/>
      <c r="H46" s="18"/>
      <c r="I46" s="18"/>
      <c r="J46" s="18"/>
      <c r="K46" s="18"/>
      <c r="L46" s="186"/>
      <c r="M46" s="186"/>
      <c r="N46" s="186"/>
      <c r="O46" s="186"/>
      <c r="P46" s="186"/>
      <c r="Q46" s="186"/>
      <c r="R46" s="186"/>
    </row>
    <row r="47" spans="2:18" ht="15.75" thickBot="1" x14ac:dyDescent="0.3">
      <c r="B47" s="1221">
        <v>1</v>
      </c>
      <c r="C47" s="80"/>
      <c r="D47" s="33" t="s">
        <v>39</v>
      </c>
      <c r="E47" s="158" t="s">
        <v>1771</v>
      </c>
      <c r="F47" s="18"/>
      <c r="G47" s="18"/>
      <c r="H47" s="18"/>
      <c r="I47" s="18"/>
      <c r="J47" s="18"/>
      <c r="K47" s="18"/>
      <c r="L47" s="186"/>
      <c r="M47" s="186"/>
      <c r="N47" s="186"/>
      <c r="O47" s="186"/>
      <c r="P47" s="186"/>
      <c r="Q47" s="186"/>
      <c r="R47" s="186"/>
    </row>
    <row r="48" spans="2:18" ht="15.75" thickBot="1" x14ac:dyDescent="0.3">
      <c r="B48" s="1222"/>
      <c r="C48" s="80"/>
      <c r="D48" s="179" t="s">
        <v>40</v>
      </c>
      <c r="E48" s="158" t="s">
        <v>1790</v>
      </c>
      <c r="F48" s="18"/>
      <c r="G48" s="18"/>
      <c r="H48" s="18"/>
      <c r="I48" s="18"/>
      <c r="J48" s="18"/>
      <c r="K48" s="18"/>
      <c r="L48" s="186"/>
      <c r="M48" s="186"/>
      <c r="N48" s="186"/>
      <c r="O48" s="186"/>
      <c r="P48" s="186"/>
      <c r="Q48" s="186"/>
      <c r="R48" s="186"/>
    </row>
    <row r="49" spans="2:18" ht="15.75" thickBot="1" x14ac:dyDescent="0.3">
      <c r="B49" s="1222"/>
      <c r="C49" s="80"/>
      <c r="D49" s="179" t="s">
        <v>41</v>
      </c>
      <c r="E49" s="158" t="s">
        <v>1791</v>
      </c>
      <c r="F49" s="18"/>
      <c r="G49" s="18"/>
      <c r="H49" s="18"/>
      <c r="I49" s="18"/>
      <c r="J49" s="18"/>
      <c r="K49" s="18"/>
      <c r="L49" s="186"/>
      <c r="M49" s="186"/>
      <c r="N49" s="186"/>
      <c r="O49" s="186"/>
      <c r="P49" s="186"/>
      <c r="Q49" s="186"/>
      <c r="R49" s="186"/>
    </row>
    <row r="50" spans="2:18" ht="15.75" thickBot="1" x14ac:dyDescent="0.3">
      <c r="B50" s="1222"/>
      <c r="C50" s="80"/>
      <c r="D50" s="179" t="s">
        <v>42</v>
      </c>
      <c r="E50" s="158" t="s">
        <v>1494</v>
      </c>
      <c r="F50" s="18"/>
      <c r="G50" s="18"/>
      <c r="H50" s="18"/>
      <c r="I50" s="18"/>
      <c r="J50" s="18"/>
      <c r="K50" s="18"/>
      <c r="L50" s="186"/>
      <c r="M50" s="186"/>
      <c r="N50" s="186"/>
      <c r="O50" s="186"/>
      <c r="P50" s="186"/>
      <c r="Q50" s="186"/>
      <c r="R50" s="186"/>
    </row>
    <row r="51" spans="2:18" ht="15.75" thickBot="1" x14ac:dyDescent="0.3">
      <c r="B51" s="1222"/>
      <c r="C51" s="80"/>
      <c r="D51" s="179" t="s">
        <v>43</v>
      </c>
      <c r="E51" s="516" t="s">
        <v>1792</v>
      </c>
      <c r="F51" s="18"/>
      <c r="G51" s="18"/>
      <c r="H51" s="18"/>
      <c r="I51" s="18"/>
      <c r="J51" s="18"/>
      <c r="K51" s="18"/>
      <c r="L51" s="186"/>
      <c r="M51" s="186"/>
      <c r="N51" s="186"/>
      <c r="O51" s="186"/>
      <c r="P51" s="186"/>
      <c r="Q51" s="186"/>
      <c r="R51" s="186"/>
    </row>
    <row r="52" spans="2:18" ht="15.75" thickBot="1" x14ac:dyDescent="0.3">
      <c r="B52" s="1222"/>
      <c r="C52" s="80"/>
      <c r="D52" s="179" t="s">
        <v>44</v>
      </c>
      <c r="E52" s="158">
        <v>4380200</v>
      </c>
      <c r="F52" s="18"/>
      <c r="G52" s="18"/>
      <c r="H52" s="18"/>
      <c r="I52" s="18"/>
      <c r="J52" s="18"/>
      <c r="K52" s="18"/>
      <c r="L52" s="186"/>
      <c r="M52" s="186"/>
      <c r="N52" s="186"/>
      <c r="O52" s="186"/>
      <c r="P52" s="186"/>
      <c r="Q52" s="186"/>
      <c r="R52" s="186"/>
    </row>
    <row r="53" spans="2:18" ht="15.75" thickBot="1" x14ac:dyDescent="0.3">
      <c r="B53" s="1223"/>
      <c r="C53" s="8"/>
      <c r="D53" s="179" t="s">
        <v>45</v>
      </c>
      <c r="E53" s="158" t="s">
        <v>1773</v>
      </c>
      <c r="F53" s="18"/>
      <c r="G53" s="18"/>
      <c r="H53" s="18"/>
      <c r="I53" s="18"/>
      <c r="J53" s="18"/>
      <c r="K53" s="18"/>
      <c r="L53" s="186"/>
      <c r="M53" s="186"/>
      <c r="N53" s="186"/>
      <c r="O53" s="186"/>
      <c r="P53" s="186"/>
      <c r="Q53" s="186"/>
      <c r="R53" s="186"/>
    </row>
    <row r="54" spans="2:18" ht="15.75" thickBot="1" x14ac:dyDescent="0.3">
      <c r="B54" s="7"/>
      <c r="C54" s="79"/>
      <c r="D54" s="18"/>
      <c r="E54" s="18"/>
      <c r="F54" s="18"/>
      <c r="G54" s="18"/>
      <c r="H54" s="18"/>
      <c r="I54" s="18"/>
      <c r="J54" s="18"/>
      <c r="K54" s="18"/>
      <c r="L54" s="186"/>
      <c r="M54" s="186"/>
      <c r="N54" s="186"/>
      <c r="O54" s="186"/>
      <c r="P54" s="186"/>
      <c r="Q54" s="186"/>
      <c r="R54" s="186"/>
    </row>
    <row r="55" spans="2:18" ht="15.75" thickBot="1" x14ac:dyDescent="0.3">
      <c r="B55" s="1228" t="s">
        <v>46</v>
      </c>
      <c r="C55" s="1229"/>
      <c r="D55" s="1229"/>
      <c r="E55" s="1230"/>
      <c r="F55" s="18"/>
      <c r="G55" s="18"/>
      <c r="H55" s="18"/>
      <c r="I55" s="18"/>
      <c r="J55" s="18"/>
      <c r="K55" s="18"/>
      <c r="L55" s="186"/>
      <c r="M55" s="186"/>
      <c r="N55" s="186"/>
      <c r="O55" s="186"/>
      <c r="P55" s="186"/>
      <c r="Q55" s="186"/>
      <c r="R55" s="186"/>
    </row>
    <row r="56" spans="2:18" ht="15.75" thickBot="1" x14ac:dyDescent="0.3">
      <c r="B56" s="1221">
        <v>1</v>
      </c>
      <c r="C56" s="80"/>
      <c r="D56" s="33" t="s">
        <v>39</v>
      </c>
      <c r="E56" s="28" t="s">
        <v>47</v>
      </c>
      <c r="F56" s="18"/>
      <c r="G56" s="18"/>
      <c r="H56" s="18"/>
      <c r="I56" s="18"/>
      <c r="J56" s="18"/>
      <c r="K56" s="18"/>
      <c r="L56" s="186"/>
      <c r="M56" s="186"/>
      <c r="N56" s="186"/>
      <c r="O56" s="186"/>
      <c r="P56" s="186"/>
      <c r="Q56" s="186"/>
      <c r="R56" s="186"/>
    </row>
    <row r="57" spans="2:18" ht="15.75" thickBot="1" x14ac:dyDescent="0.3">
      <c r="B57" s="1222"/>
      <c r="C57" s="80"/>
      <c r="D57" s="179" t="s">
        <v>40</v>
      </c>
      <c r="E57" s="28" t="s">
        <v>48</v>
      </c>
      <c r="F57" s="18"/>
      <c r="G57" s="18"/>
      <c r="H57" s="18"/>
      <c r="I57" s="18"/>
      <c r="J57" s="18"/>
      <c r="K57" s="18"/>
      <c r="L57" s="186"/>
      <c r="M57" s="186"/>
      <c r="N57" s="186"/>
      <c r="O57" s="186"/>
      <c r="P57" s="186"/>
      <c r="Q57" s="186"/>
      <c r="R57" s="186"/>
    </row>
    <row r="58" spans="2:18" ht="15.75" thickBot="1" x14ac:dyDescent="0.3">
      <c r="B58" s="1222"/>
      <c r="C58" s="80"/>
      <c r="D58" s="179" t="s">
        <v>41</v>
      </c>
      <c r="E58" s="163"/>
      <c r="F58" s="18"/>
      <c r="G58" s="18"/>
      <c r="H58" s="18"/>
      <c r="I58" s="18"/>
      <c r="J58" s="18"/>
      <c r="K58" s="18"/>
      <c r="L58" s="186"/>
      <c r="M58" s="186"/>
      <c r="N58" s="186"/>
      <c r="O58" s="186"/>
      <c r="P58" s="186"/>
      <c r="Q58" s="186"/>
      <c r="R58" s="186"/>
    </row>
    <row r="59" spans="2:18" ht="15.75" thickBot="1" x14ac:dyDescent="0.3">
      <c r="B59" s="1222"/>
      <c r="C59" s="80"/>
      <c r="D59" s="179" t="s">
        <v>42</v>
      </c>
      <c r="E59" s="163"/>
      <c r="F59" s="18"/>
      <c r="G59" s="18"/>
      <c r="H59" s="18"/>
      <c r="I59" s="18"/>
      <c r="J59" s="18"/>
      <c r="K59" s="18"/>
      <c r="L59" s="186"/>
      <c r="M59" s="186"/>
      <c r="N59" s="186"/>
      <c r="O59" s="186"/>
      <c r="P59" s="186"/>
      <c r="Q59" s="186"/>
      <c r="R59" s="186"/>
    </row>
    <row r="60" spans="2:18" ht="15.75" thickBot="1" x14ac:dyDescent="0.3">
      <c r="B60" s="1222"/>
      <c r="C60" s="80"/>
      <c r="D60" s="179" t="s">
        <v>43</v>
      </c>
      <c r="E60" s="163"/>
      <c r="F60" s="18"/>
      <c r="G60" s="18"/>
      <c r="H60" s="18"/>
      <c r="I60" s="18"/>
      <c r="J60" s="18"/>
      <c r="K60" s="18"/>
      <c r="L60" s="186"/>
      <c r="M60" s="186"/>
      <c r="N60" s="186"/>
      <c r="O60" s="186"/>
      <c r="P60" s="186"/>
      <c r="Q60" s="186"/>
      <c r="R60" s="186"/>
    </row>
    <row r="61" spans="2:18" ht="15.75" thickBot="1" x14ac:dyDescent="0.3">
      <c r="B61" s="1222"/>
      <c r="C61" s="80"/>
      <c r="D61" s="179" t="s">
        <v>44</v>
      </c>
      <c r="E61" s="163"/>
      <c r="F61" s="18"/>
      <c r="G61" s="18"/>
      <c r="H61" s="18"/>
      <c r="I61" s="18"/>
      <c r="J61" s="18"/>
      <c r="K61" s="18"/>
      <c r="L61" s="186"/>
      <c r="M61" s="186"/>
      <c r="N61" s="186"/>
      <c r="O61" s="186"/>
      <c r="P61" s="186"/>
      <c r="Q61" s="186"/>
      <c r="R61" s="186"/>
    </row>
    <row r="62" spans="2:18" ht="15.75" thickBot="1" x14ac:dyDescent="0.3">
      <c r="B62" s="1223"/>
      <c r="C62" s="8"/>
      <c r="D62" s="179" t="s">
        <v>45</v>
      </c>
      <c r="E62" s="163"/>
      <c r="F62" s="18"/>
      <c r="G62" s="18"/>
      <c r="H62" s="18"/>
      <c r="I62" s="18"/>
      <c r="J62" s="18"/>
      <c r="K62" s="18"/>
      <c r="L62" s="186"/>
      <c r="M62" s="186"/>
      <c r="N62" s="186"/>
      <c r="O62" s="186"/>
      <c r="P62" s="186"/>
      <c r="Q62" s="186"/>
      <c r="R62" s="186"/>
    </row>
    <row r="63" spans="2:18" ht="15.75" thickBot="1" x14ac:dyDescent="0.3">
      <c r="B63" s="7"/>
      <c r="C63" s="79"/>
      <c r="D63" s="18"/>
      <c r="E63" s="18"/>
      <c r="F63" s="18"/>
      <c r="G63" s="18"/>
      <c r="H63" s="18"/>
      <c r="I63" s="18"/>
      <c r="J63" s="18"/>
      <c r="K63" s="18"/>
      <c r="L63" s="186"/>
      <c r="M63" s="186"/>
      <c r="N63" s="186"/>
      <c r="O63" s="186"/>
      <c r="P63" s="186"/>
      <c r="Q63" s="186"/>
      <c r="R63" s="186"/>
    </row>
    <row r="64" spans="2:18" ht="15" customHeight="1" thickBot="1" x14ac:dyDescent="0.3">
      <c r="B64" s="180" t="s">
        <v>49</v>
      </c>
      <c r="C64" s="181"/>
      <c r="D64" s="181"/>
      <c r="E64" s="182"/>
      <c r="F64" s="186"/>
      <c r="G64" s="18"/>
      <c r="H64" s="18"/>
      <c r="I64" s="18"/>
      <c r="J64" s="18"/>
      <c r="K64" s="18"/>
      <c r="L64" s="186"/>
      <c r="M64" s="186"/>
      <c r="N64" s="186"/>
      <c r="O64" s="186"/>
      <c r="P64" s="186"/>
      <c r="Q64" s="186"/>
      <c r="R64" s="186"/>
    </row>
    <row r="65" spans="2:18" ht="24.75" thickBot="1" x14ac:dyDescent="0.3">
      <c r="B65" s="177" t="s">
        <v>50</v>
      </c>
      <c r="C65" s="179" t="s">
        <v>51</v>
      </c>
      <c r="D65" s="179" t="s">
        <v>52</v>
      </c>
      <c r="E65" s="179" t="s">
        <v>53</v>
      </c>
      <c r="F65" s="18"/>
      <c r="G65" s="18"/>
      <c r="H65" s="18"/>
      <c r="I65" s="18"/>
      <c r="J65" s="18"/>
      <c r="K65" s="186"/>
      <c r="L65" s="186"/>
      <c r="M65" s="186"/>
      <c r="N65" s="186"/>
      <c r="O65" s="186"/>
      <c r="P65" s="186"/>
      <c r="Q65" s="186"/>
      <c r="R65" s="186"/>
    </row>
    <row r="66" spans="2:18" ht="60.75" thickBot="1" x14ac:dyDescent="0.3">
      <c r="B66" s="35">
        <v>42401</v>
      </c>
      <c r="C66" s="179">
        <v>0.01</v>
      </c>
      <c r="D66" s="173" t="s">
        <v>1154</v>
      </c>
      <c r="E66" s="179"/>
      <c r="F66" s="18"/>
      <c r="G66" s="18"/>
      <c r="H66" s="18"/>
      <c r="I66" s="18"/>
      <c r="J66" s="18"/>
      <c r="K66" s="186"/>
      <c r="L66" s="186"/>
      <c r="M66" s="186"/>
      <c r="N66" s="186"/>
      <c r="O66" s="186"/>
      <c r="P66" s="186"/>
      <c r="Q66" s="186"/>
      <c r="R66" s="186"/>
    </row>
    <row r="67" spans="2:18" ht="15.75" thickBot="1" x14ac:dyDescent="0.3">
      <c r="B67" s="9"/>
      <c r="C67" s="81"/>
      <c r="D67" s="18"/>
      <c r="E67" s="18"/>
      <c r="F67" s="18"/>
      <c r="G67" s="18"/>
      <c r="H67" s="18"/>
      <c r="I67" s="18"/>
      <c r="J67" s="18"/>
      <c r="K67" s="18"/>
      <c r="L67" s="186"/>
      <c r="M67" s="186"/>
      <c r="N67" s="186"/>
      <c r="O67" s="186"/>
      <c r="P67" s="186"/>
      <c r="Q67" s="186"/>
      <c r="R67" s="186"/>
    </row>
    <row r="68" spans="2:18" ht="24.75" thickBot="1" x14ac:dyDescent="0.3">
      <c r="B68" s="361" t="s">
        <v>55</v>
      </c>
      <c r="C68" s="82"/>
      <c r="D68" s="18"/>
      <c r="E68" s="18"/>
      <c r="F68" s="18"/>
      <c r="G68" s="18"/>
      <c r="H68" s="18"/>
      <c r="I68" s="18"/>
      <c r="J68" s="18"/>
      <c r="K68" s="18"/>
      <c r="L68" s="186"/>
      <c r="M68" s="186"/>
      <c r="N68" s="186"/>
      <c r="O68" s="186"/>
      <c r="P68" s="186"/>
      <c r="Q68" s="186"/>
      <c r="R68" s="186"/>
    </row>
    <row r="69" spans="2:18" x14ac:dyDescent="0.25">
      <c r="B69" s="1199"/>
      <c r="C69" s="1200"/>
      <c r="D69" s="1200"/>
      <c r="E69" s="1200"/>
      <c r="F69" s="1200"/>
      <c r="G69" s="1201"/>
      <c r="H69" s="18"/>
      <c r="I69" s="18"/>
      <c r="J69" s="18"/>
      <c r="K69" s="18"/>
      <c r="L69" s="186"/>
      <c r="M69" s="186"/>
      <c r="N69" s="186"/>
      <c r="O69" s="186"/>
      <c r="P69" s="186"/>
      <c r="Q69" s="186"/>
      <c r="R69" s="186"/>
    </row>
    <row r="70" spans="2:18" ht="15.75" thickBot="1" x14ac:dyDescent="0.3">
      <c r="B70" s="1202"/>
      <c r="C70" s="1203"/>
      <c r="D70" s="1203"/>
      <c r="E70" s="1203"/>
      <c r="F70" s="1203"/>
      <c r="G70" s="1204"/>
      <c r="H70" s="18"/>
      <c r="I70" s="18"/>
      <c r="J70" s="18"/>
      <c r="K70" s="18"/>
      <c r="L70" s="186"/>
      <c r="M70" s="186"/>
      <c r="N70" s="186"/>
      <c r="O70" s="186"/>
      <c r="P70" s="186"/>
      <c r="Q70" s="186"/>
      <c r="R70" s="186"/>
    </row>
    <row r="71" spans="2:18" x14ac:dyDescent="0.25">
      <c r="B71" s="7"/>
      <c r="C71" s="79"/>
      <c r="D71" s="18"/>
      <c r="E71" s="18"/>
      <c r="F71" s="18"/>
      <c r="G71" s="18"/>
      <c r="H71" s="18"/>
      <c r="I71" s="18"/>
      <c r="J71" s="18"/>
      <c r="K71" s="18"/>
      <c r="L71" s="186"/>
      <c r="M71" s="186"/>
      <c r="N71" s="186"/>
      <c r="O71" s="186"/>
      <c r="P71" s="186"/>
      <c r="Q71" s="186"/>
      <c r="R71" s="186"/>
    </row>
    <row r="72" spans="2:18" ht="15.75" thickBot="1" x14ac:dyDescent="0.3">
      <c r="B72" s="18"/>
      <c r="C72" s="78"/>
      <c r="D72" s="18"/>
      <c r="E72" s="18"/>
      <c r="F72" s="18"/>
      <c r="G72" s="18"/>
      <c r="H72" s="18"/>
      <c r="I72" s="18"/>
      <c r="J72" s="18"/>
      <c r="K72" s="18"/>
      <c r="L72" s="186"/>
      <c r="M72" s="186"/>
      <c r="N72" s="186"/>
      <c r="O72" s="186"/>
      <c r="P72" s="186"/>
      <c r="Q72" s="186"/>
      <c r="R72" s="186"/>
    </row>
    <row r="73" spans="2:18" ht="24.75" thickBot="1" x14ac:dyDescent="0.3">
      <c r="B73" s="190" t="s">
        <v>56</v>
      </c>
      <c r="C73" s="83"/>
      <c r="D73" s="18"/>
      <c r="E73" s="18"/>
      <c r="F73" s="18"/>
      <c r="G73" s="18"/>
      <c r="H73" s="18"/>
      <c r="I73" s="18"/>
      <c r="J73" s="18"/>
      <c r="K73" s="18"/>
      <c r="L73" s="186"/>
      <c r="M73" s="186"/>
      <c r="N73" s="186"/>
      <c r="O73" s="186"/>
      <c r="P73" s="186"/>
      <c r="Q73" s="186"/>
      <c r="R73" s="186"/>
    </row>
    <row r="74" spans="2:18" ht="15.75" thickBot="1" x14ac:dyDescent="0.3">
      <c r="B74" s="28"/>
      <c r="C74" s="76"/>
      <c r="D74" s="18"/>
      <c r="E74" s="18"/>
      <c r="F74" s="18"/>
      <c r="G74" s="18"/>
      <c r="H74" s="18"/>
      <c r="I74" s="18"/>
      <c r="J74" s="18"/>
      <c r="K74" s="18"/>
      <c r="L74" s="186"/>
      <c r="M74" s="186"/>
      <c r="N74" s="186"/>
      <c r="O74" s="186"/>
      <c r="P74" s="186"/>
      <c r="Q74" s="186"/>
      <c r="R74" s="186"/>
    </row>
    <row r="75" spans="2:18" ht="60.75" thickBot="1" x14ac:dyDescent="0.3">
      <c r="B75" s="36" t="s">
        <v>57</v>
      </c>
      <c r="C75" s="20"/>
      <c r="D75" s="178" t="s">
        <v>1122</v>
      </c>
      <c r="E75" s="18"/>
      <c r="F75" s="18"/>
      <c r="G75" s="18"/>
      <c r="H75" s="18"/>
      <c r="I75" s="18"/>
      <c r="J75" s="18"/>
      <c r="K75" s="18"/>
      <c r="L75" s="186"/>
      <c r="M75" s="186"/>
      <c r="N75" s="186"/>
      <c r="O75" s="186"/>
      <c r="P75" s="186"/>
      <c r="Q75" s="186"/>
      <c r="R75" s="186"/>
    </row>
    <row r="76" spans="2:18" x14ac:dyDescent="0.25">
      <c r="B76" s="1221" t="s">
        <v>59</v>
      </c>
      <c r="C76" s="80"/>
      <c r="D76" s="174" t="s">
        <v>60</v>
      </c>
      <c r="E76" s="18"/>
      <c r="F76" s="18"/>
      <c r="G76" s="18"/>
      <c r="H76" s="18"/>
      <c r="I76" s="18"/>
      <c r="J76" s="18"/>
      <c r="K76" s="18"/>
      <c r="L76" s="186"/>
      <c r="M76" s="186"/>
      <c r="N76" s="186"/>
      <c r="O76" s="186"/>
      <c r="P76" s="186"/>
      <c r="Q76" s="186"/>
      <c r="R76" s="186"/>
    </row>
    <row r="77" spans="2:18" ht="84" x14ac:dyDescent="0.25">
      <c r="B77" s="1222"/>
      <c r="C77" s="80"/>
      <c r="D77" s="175" t="s">
        <v>1123</v>
      </c>
      <c r="E77" s="18"/>
      <c r="F77" s="18"/>
      <c r="G77" s="18"/>
      <c r="H77" s="18"/>
      <c r="I77" s="18"/>
      <c r="J77" s="18"/>
      <c r="K77" s="18"/>
      <c r="L77" s="186"/>
      <c r="M77" s="186"/>
      <c r="N77" s="186"/>
      <c r="O77" s="186"/>
      <c r="P77" s="186"/>
      <c r="Q77" s="186"/>
      <c r="R77" s="186"/>
    </row>
    <row r="78" spans="2:18" x14ac:dyDescent="0.25">
      <c r="B78" s="1222"/>
      <c r="C78" s="80"/>
      <c r="D78" s="174" t="s">
        <v>63</v>
      </c>
      <c r="E78" s="18"/>
      <c r="F78" s="18"/>
      <c r="G78" s="18"/>
      <c r="H78" s="18"/>
      <c r="I78" s="18"/>
      <c r="J78" s="18"/>
      <c r="K78" s="18"/>
      <c r="L78" s="186"/>
      <c r="M78" s="186"/>
      <c r="N78" s="186"/>
      <c r="O78" s="186"/>
      <c r="P78" s="186"/>
      <c r="Q78" s="186"/>
      <c r="R78" s="186"/>
    </row>
    <row r="79" spans="2:18" x14ac:dyDescent="0.25">
      <c r="B79" s="1222"/>
      <c r="C79" s="80"/>
      <c r="D79" s="175" t="s">
        <v>1124</v>
      </c>
      <c r="E79" s="18"/>
      <c r="F79" s="18"/>
      <c r="G79" s="18"/>
      <c r="H79" s="18"/>
      <c r="I79" s="18"/>
      <c r="J79" s="18"/>
      <c r="K79" s="18"/>
      <c r="L79" s="186"/>
      <c r="M79" s="186"/>
      <c r="N79" s="186"/>
      <c r="O79" s="186"/>
      <c r="P79" s="186"/>
      <c r="Q79" s="186"/>
      <c r="R79" s="186"/>
    </row>
    <row r="80" spans="2:18" x14ac:dyDescent="0.25">
      <c r="B80" s="1222"/>
      <c r="C80" s="80"/>
      <c r="D80" s="175" t="s">
        <v>65</v>
      </c>
      <c r="E80" s="18"/>
      <c r="F80" s="18"/>
      <c r="G80" s="18"/>
      <c r="H80" s="18"/>
      <c r="I80" s="18"/>
      <c r="J80" s="18"/>
      <c r="K80" s="18"/>
      <c r="L80" s="186"/>
      <c r="M80" s="186"/>
      <c r="N80" s="186"/>
      <c r="O80" s="186"/>
      <c r="P80" s="186"/>
      <c r="Q80" s="186"/>
      <c r="R80" s="186"/>
    </row>
    <row r="81" spans="2:18" x14ac:dyDescent="0.25">
      <c r="B81" s="1222"/>
      <c r="C81" s="80"/>
      <c r="D81" s="174" t="s">
        <v>288</v>
      </c>
      <c r="E81" s="18"/>
      <c r="F81" s="18"/>
      <c r="G81" s="18"/>
      <c r="H81" s="18"/>
      <c r="I81" s="18"/>
      <c r="J81" s="18"/>
      <c r="K81" s="18"/>
      <c r="L81" s="186"/>
      <c r="M81" s="186"/>
      <c r="N81" s="186"/>
      <c r="O81" s="186"/>
      <c r="P81" s="186"/>
      <c r="Q81" s="186"/>
      <c r="R81" s="186"/>
    </row>
    <row r="82" spans="2:18" ht="15.75" thickBot="1" x14ac:dyDescent="0.3">
      <c r="B82" s="1223"/>
      <c r="C82" s="8"/>
      <c r="D82" s="179" t="s">
        <v>1125</v>
      </c>
      <c r="E82" s="18"/>
      <c r="F82" s="18"/>
      <c r="G82" s="18"/>
      <c r="H82" s="18"/>
      <c r="I82" s="18"/>
      <c r="J82" s="18"/>
      <c r="K82" s="18"/>
      <c r="L82" s="186"/>
      <c r="M82" s="186"/>
      <c r="N82" s="186"/>
      <c r="O82" s="186"/>
      <c r="P82" s="186"/>
      <c r="Q82" s="186"/>
      <c r="R82" s="186"/>
    </row>
    <row r="83" spans="2:18" x14ac:dyDescent="0.25">
      <c r="B83" s="1221" t="s">
        <v>72</v>
      </c>
      <c r="C83" s="191"/>
      <c r="D83" s="1221"/>
      <c r="E83" s="18"/>
      <c r="F83" s="18"/>
      <c r="G83" s="18"/>
      <c r="H83" s="18"/>
      <c r="I83" s="18"/>
      <c r="J83" s="18"/>
      <c r="K83" s="18"/>
      <c r="L83" s="186"/>
      <c r="M83" s="186"/>
      <c r="N83" s="186"/>
      <c r="O83" s="186"/>
      <c r="P83" s="186"/>
      <c r="Q83" s="186"/>
      <c r="R83" s="186"/>
    </row>
    <row r="84" spans="2:18" ht="15.75" thickBot="1" x14ac:dyDescent="0.3">
      <c r="B84" s="1223"/>
      <c r="C84" s="77"/>
      <c r="D84" s="1223"/>
      <c r="E84" s="18"/>
      <c r="F84" s="18"/>
      <c r="G84" s="18"/>
      <c r="H84" s="18"/>
      <c r="I84" s="18"/>
      <c r="J84" s="18"/>
      <c r="K84" s="18"/>
      <c r="L84" s="186"/>
      <c r="M84" s="186"/>
      <c r="N84" s="186"/>
      <c r="O84" s="186"/>
      <c r="P84" s="186"/>
      <c r="Q84" s="186"/>
      <c r="R84" s="186"/>
    </row>
    <row r="85" spans="2:18" ht="96" x14ac:dyDescent="0.25">
      <c r="B85" s="1221" t="s">
        <v>73</v>
      </c>
      <c r="C85" s="80"/>
      <c r="D85" s="175" t="s">
        <v>1126</v>
      </c>
      <c r="E85" s="18"/>
      <c r="F85" s="18"/>
      <c r="G85" s="18"/>
      <c r="H85" s="18"/>
      <c r="I85" s="18"/>
      <c r="J85" s="18"/>
      <c r="K85" s="18"/>
      <c r="L85" s="186"/>
      <c r="M85" s="186"/>
      <c r="N85" s="186"/>
      <c r="O85" s="186"/>
      <c r="P85" s="186"/>
      <c r="Q85" s="186"/>
      <c r="R85" s="186"/>
    </row>
    <row r="86" spans="2:18" ht="204" x14ac:dyDescent="0.25">
      <c r="B86" s="1222"/>
      <c r="C86" s="80"/>
      <c r="D86" s="175" t="s">
        <v>1127</v>
      </c>
      <c r="E86" s="18"/>
      <c r="F86" s="18"/>
      <c r="G86" s="18"/>
      <c r="H86" s="18"/>
      <c r="I86" s="18"/>
      <c r="J86" s="18"/>
      <c r="K86" s="18"/>
      <c r="L86" s="186"/>
      <c r="M86" s="186"/>
      <c r="N86" s="186"/>
      <c r="O86" s="186"/>
      <c r="P86" s="186"/>
      <c r="Q86" s="186"/>
      <c r="R86" s="186"/>
    </row>
    <row r="87" spans="2:18" ht="228" x14ac:dyDescent="0.25">
      <c r="B87" s="1222"/>
      <c r="C87" s="80"/>
      <c r="D87" s="175" t="s">
        <v>1128</v>
      </c>
      <c r="E87" s="18"/>
      <c r="F87" s="18"/>
      <c r="G87" s="18"/>
      <c r="H87" s="18"/>
      <c r="I87" s="18"/>
      <c r="J87" s="18"/>
      <c r="K87" s="18"/>
    </row>
    <row r="88" spans="2:18" ht="96" x14ac:dyDescent="0.25">
      <c r="B88" s="1222"/>
      <c r="C88" s="80"/>
      <c r="D88" s="175" t="s">
        <v>1129</v>
      </c>
      <c r="E88" s="18"/>
      <c r="F88" s="18"/>
      <c r="G88" s="18"/>
      <c r="H88" s="18"/>
      <c r="I88" s="18"/>
      <c r="J88" s="18"/>
      <c r="K88" s="18"/>
    </row>
    <row r="89" spans="2:18" ht="36" x14ac:dyDescent="0.25">
      <c r="B89" s="1222"/>
      <c r="C89" s="80"/>
      <c r="D89" s="175" t="s">
        <v>1130</v>
      </c>
      <c r="E89" s="18"/>
      <c r="F89" s="18"/>
      <c r="G89" s="18"/>
      <c r="H89" s="18"/>
      <c r="I89" s="18"/>
      <c r="J89" s="18"/>
      <c r="K89" s="18"/>
    </row>
    <row r="90" spans="2:18" ht="36" x14ac:dyDescent="0.25">
      <c r="B90" s="1222"/>
      <c r="C90" s="80"/>
      <c r="D90" s="175" t="s">
        <v>1131</v>
      </c>
      <c r="E90" s="18"/>
      <c r="F90" s="18"/>
      <c r="G90" s="18"/>
      <c r="H90" s="18"/>
      <c r="I90" s="18"/>
      <c r="J90" s="18"/>
      <c r="K90" s="18"/>
    </row>
    <row r="91" spans="2:18" ht="36" x14ac:dyDescent="0.25">
      <c r="B91" s="1222"/>
      <c r="C91" s="80"/>
      <c r="D91" s="175" t="s">
        <v>1132</v>
      </c>
      <c r="E91" s="18"/>
      <c r="F91" s="18"/>
      <c r="G91" s="18"/>
      <c r="H91" s="18"/>
      <c r="I91" s="18"/>
      <c r="J91" s="18"/>
      <c r="K91" s="18"/>
    </row>
    <row r="92" spans="2:18" ht="24" x14ac:dyDescent="0.25">
      <c r="B92" s="1222"/>
      <c r="C92" s="80"/>
      <c r="D92" s="175" t="s">
        <v>1133</v>
      </c>
      <c r="E92" s="18"/>
      <c r="F92" s="18"/>
      <c r="G92" s="18"/>
      <c r="H92" s="18"/>
      <c r="I92" s="18"/>
      <c r="J92" s="18"/>
      <c r="K92" s="18"/>
    </row>
    <row r="93" spans="2:18" ht="36" x14ac:dyDescent="0.25">
      <c r="B93" s="1222"/>
      <c r="C93" s="80"/>
      <c r="D93" s="175" t="s">
        <v>1134</v>
      </c>
      <c r="E93" s="18"/>
      <c r="F93" s="18"/>
      <c r="G93" s="18"/>
      <c r="H93" s="18"/>
      <c r="I93" s="18"/>
      <c r="J93" s="18"/>
      <c r="K93" s="18"/>
    </row>
    <row r="94" spans="2:18" ht="36" x14ac:dyDescent="0.25">
      <c r="B94" s="1222"/>
      <c r="C94" s="80"/>
      <c r="D94" s="175" t="s">
        <v>1135</v>
      </c>
      <c r="E94" s="18"/>
      <c r="F94" s="18"/>
      <c r="G94" s="18"/>
      <c r="H94" s="18"/>
      <c r="I94" s="18"/>
      <c r="J94" s="18"/>
      <c r="K94" s="18"/>
    </row>
    <row r="95" spans="2:18" ht="72.75" thickBot="1" x14ac:dyDescent="0.3">
      <c r="B95" s="1223"/>
      <c r="C95" s="8"/>
      <c r="D95" s="179" t="s">
        <v>1136</v>
      </c>
      <c r="E95" s="18"/>
      <c r="F95" s="18"/>
      <c r="G95" s="18"/>
      <c r="H95" s="18"/>
      <c r="I95" s="18"/>
      <c r="J95" s="18"/>
      <c r="K95" s="18"/>
    </row>
    <row r="96" spans="2:18" ht="24" x14ac:dyDescent="0.25">
      <c r="B96" s="1221" t="s">
        <v>90</v>
      </c>
      <c r="C96" s="80"/>
      <c r="D96" s="174" t="s">
        <v>1137</v>
      </c>
      <c r="E96" s="18"/>
      <c r="F96" s="18"/>
      <c r="G96" s="18"/>
      <c r="H96" s="18"/>
      <c r="I96" s="18"/>
      <c r="J96" s="18"/>
      <c r="K96" s="18"/>
    </row>
    <row r="97" spans="2:11" x14ac:dyDescent="0.25">
      <c r="B97" s="1222"/>
      <c r="C97" s="80"/>
      <c r="D97" s="176"/>
      <c r="E97" s="18"/>
      <c r="F97" s="18"/>
      <c r="G97" s="18"/>
      <c r="H97" s="18"/>
      <c r="I97" s="18"/>
      <c r="J97" s="18"/>
      <c r="K97" s="18"/>
    </row>
    <row r="98" spans="2:11" x14ac:dyDescent="0.25">
      <c r="B98" s="1222"/>
      <c r="C98" s="80"/>
      <c r="D98" s="175" t="s">
        <v>91</v>
      </c>
      <c r="E98" s="18"/>
      <c r="F98" s="18"/>
      <c r="G98" s="18"/>
      <c r="H98" s="18"/>
      <c r="I98" s="18"/>
      <c r="J98" s="18"/>
      <c r="K98" s="18"/>
    </row>
    <row r="99" spans="2:11" ht="25.5" x14ac:dyDescent="0.25">
      <c r="B99" s="1222"/>
      <c r="C99" s="80"/>
      <c r="D99" s="175" t="s">
        <v>1138</v>
      </c>
      <c r="E99" s="18"/>
      <c r="F99" s="18"/>
      <c r="G99" s="18"/>
      <c r="H99" s="18"/>
      <c r="I99" s="18"/>
      <c r="J99" s="18"/>
      <c r="K99" s="18"/>
    </row>
    <row r="100" spans="2:11" ht="37.5" x14ac:dyDescent="0.25">
      <c r="B100" s="1222"/>
      <c r="C100" s="80"/>
      <c r="D100" s="175" t="s">
        <v>1139</v>
      </c>
      <c r="E100" s="18"/>
      <c r="F100" s="18"/>
      <c r="G100" s="18"/>
      <c r="H100" s="18"/>
      <c r="I100" s="18"/>
      <c r="J100" s="18"/>
      <c r="K100" s="18"/>
    </row>
    <row r="101" spans="2:11" ht="37.5" x14ac:dyDescent="0.25">
      <c r="B101" s="1222"/>
      <c r="C101" s="80"/>
      <c r="D101" s="175" t="s">
        <v>1140</v>
      </c>
      <c r="E101" s="18"/>
      <c r="F101" s="18"/>
      <c r="G101" s="18"/>
      <c r="H101" s="18"/>
      <c r="I101" s="18"/>
      <c r="J101" s="18"/>
      <c r="K101" s="18"/>
    </row>
    <row r="102" spans="2:11" ht="37.5" x14ac:dyDescent="0.25">
      <c r="B102" s="1222"/>
      <c r="C102" s="80"/>
      <c r="D102" s="175" t="s">
        <v>1141</v>
      </c>
      <c r="E102" s="18"/>
      <c r="F102" s="18"/>
      <c r="G102" s="18"/>
      <c r="H102" s="18"/>
      <c r="I102" s="18"/>
      <c r="J102" s="18"/>
      <c r="K102" s="18"/>
    </row>
    <row r="103" spans="2:11" x14ac:dyDescent="0.25">
      <c r="B103" s="1222"/>
      <c r="C103" s="80"/>
      <c r="D103" s="175" t="s">
        <v>1142</v>
      </c>
      <c r="E103" s="18"/>
      <c r="F103" s="18"/>
      <c r="G103" s="18"/>
      <c r="H103" s="18"/>
      <c r="I103" s="18"/>
      <c r="J103" s="18"/>
      <c r="K103" s="18"/>
    </row>
    <row r="104" spans="2:11" x14ac:dyDescent="0.25">
      <c r="B104" s="1222"/>
      <c r="C104" s="80"/>
      <c r="D104" s="175" t="s">
        <v>1143</v>
      </c>
      <c r="E104" s="18"/>
      <c r="F104" s="18"/>
      <c r="G104" s="18"/>
      <c r="H104" s="18"/>
      <c r="I104" s="18"/>
      <c r="J104" s="18"/>
      <c r="K104" s="18"/>
    </row>
    <row r="105" spans="2:11" x14ac:dyDescent="0.25">
      <c r="B105" s="1222"/>
      <c r="C105" s="80"/>
      <c r="D105" s="175" t="s">
        <v>1144</v>
      </c>
      <c r="E105" s="18"/>
      <c r="F105" s="18"/>
      <c r="G105" s="18"/>
      <c r="H105" s="18"/>
      <c r="I105" s="18"/>
      <c r="J105" s="18"/>
      <c r="K105" s="18"/>
    </row>
    <row r="106" spans="2:11" x14ac:dyDescent="0.25">
      <c r="B106" s="1222"/>
      <c r="C106" s="80"/>
      <c r="D106" s="175" t="s">
        <v>825</v>
      </c>
      <c r="E106" s="18"/>
      <c r="F106" s="18"/>
      <c r="G106" s="18"/>
      <c r="H106" s="18"/>
      <c r="I106" s="18"/>
      <c r="J106" s="18"/>
      <c r="K106" s="18"/>
    </row>
    <row r="107" spans="2:11" ht="84" x14ac:dyDescent="0.25">
      <c r="B107" s="1222"/>
      <c r="C107" s="80"/>
      <c r="D107" s="192" t="s">
        <v>235</v>
      </c>
      <c r="E107" s="18"/>
      <c r="F107" s="18"/>
      <c r="G107" s="18"/>
      <c r="H107" s="18"/>
      <c r="I107" s="18"/>
      <c r="J107" s="18"/>
      <c r="K107" s="18"/>
    </row>
    <row r="108" spans="2:11" x14ac:dyDescent="0.25">
      <c r="B108" s="1222"/>
      <c r="C108" s="80"/>
      <c r="D108" s="175" t="s">
        <v>246</v>
      </c>
      <c r="E108" s="18"/>
      <c r="F108" s="18"/>
      <c r="G108" s="18"/>
      <c r="H108" s="18"/>
      <c r="I108" s="18"/>
      <c r="J108" s="18"/>
      <c r="K108" s="18"/>
    </row>
    <row r="109" spans="2:11" ht="24" x14ac:dyDescent="0.25">
      <c r="B109" s="1222"/>
      <c r="C109" s="80"/>
      <c r="D109" s="174" t="s">
        <v>1145</v>
      </c>
      <c r="E109" s="18"/>
      <c r="F109" s="18"/>
      <c r="G109" s="18"/>
      <c r="H109" s="18"/>
      <c r="I109" s="18"/>
      <c r="J109" s="18"/>
      <c r="K109" s="18"/>
    </row>
    <row r="110" spans="2:11" x14ac:dyDescent="0.25">
      <c r="B110" s="1222"/>
      <c r="C110" s="80"/>
      <c r="D110" s="176"/>
      <c r="E110" s="18"/>
      <c r="F110" s="18"/>
      <c r="G110" s="18"/>
      <c r="H110" s="18"/>
      <c r="I110" s="18"/>
      <c r="J110" s="18"/>
      <c r="K110" s="18"/>
    </row>
    <row r="111" spans="2:11" x14ac:dyDescent="0.25">
      <c r="B111" s="1222"/>
      <c r="C111" s="80"/>
      <c r="D111" s="175" t="s">
        <v>91</v>
      </c>
      <c r="E111" s="18"/>
      <c r="F111" s="18"/>
      <c r="G111" s="18"/>
      <c r="H111" s="18"/>
      <c r="I111" s="18"/>
      <c r="J111" s="18"/>
      <c r="K111" s="18"/>
    </row>
    <row r="112" spans="2:11" ht="37.5" x14ac:dyDescent="0.25">
      <c r="B112" s="1222"/>
      <c r="C112" s="80"/>
      <c r="D112" s="175" t="s">
        <v>1146</v>
      </c>
      <c r="E112" s="18"/>
      <c r="F112" s="18"/>
      <c r="G112" s="18"/>
      <c r="H112" s="18"/>
      <c r="I112" s="18"/>
      <c r="J112" s="18"/>
      <c r="K112" s="18"/>
    </row>
    <row r="113" spans="2:11" ht="37.5" x14ac:dyDescent="0.25">
      <c r="B113" s="1222"/>
      <c r="C113" s="80"/>
      <c r="D113" s="175" t="s">
        <v>1147</v>
      </c>
      <c r="E113" s="18"/>
      <c r="F113" s="18"/>
      <c r="G113" s="18"/>
      <c r="H113" s="18"/>
      <c r="I113" s="18"/>
      <c r="J113" s="18"/>
      <c r="K113" s="18"/>
    </row>
    <row r="114" spans="2:11" ht="38.25" thickBot="1" x14ac:dyDescent="0.3">
      <c r="B114" s="1223"/>
      <c r="C114" s="8"/>
      <c r="D114" s="179" t="s">
        <v>1148</v>
      </c>
      <c r="E114" s="18"/>
      <c r="F114" s="18"/>
      <c r="G114" s="18"/>
      <c r="H114" s="18"/>
      <c r="I114" s="18"/>
      <c r="J114" s="18"/>
      <c r="K114" s="18"/>
    </row>
    <row r="115" spans="2:11" x14ac:dyDescent="0.25">
      <c r="B115" s="18"/>
      <c r="C115" s="78"/>
      <c r="D115" s="18"/>
      <c r="E115" s="18"/>
      <c r="F115" s="18"/>
      <c r="G115" s="18"/>
      <c r="H115" s="18"/>
      <c r="I115" s="18"/>
      <c r="J115" s="18"/>
      <c r="K115" s="18"/>
    </row>
    <row r="116" spans="2:11" s="186" customFormat="1" x14ac:dyDescent="0.25">
      <c r="C116" s="78"/>
    </row>
    <row r="117" spans="2:11" s="186" customFormat="1" x14ac:dyDescent="0.25">
      <c r="C117" s="78"/>
    </row>
    <row r="118" spans="2:11" s="186" customFormat="1" x14ac:dyDescent="0.25">
      <c r="C118" s="78"/>
    </row>
    <row r="119" spans="2:11" s="186" customFormat="1" x14ac:dyDescent="0.25">
      <c r="C119" s="78"/>
    </row>
    <row r="120" spans="2:11" s="186" customFormat="1" x14ac:dyDescent="0.25">
      <c r="C120" s="78"/>
    </row>
    <row r="121" spans="2:11" s="186" customFormat="1" x14ac:dyDescent="0.25">
      <c r="C121" s="78"/>
    </row>
    <row r="122" spans="2:11" s="186" customFormat="1" x14ac:dyDescent="0.25">
      <c r="C122" s="78"/>
    </row>
    <row r="123" spans="2:11" s="186" customFormat="1" x14ac:dyDescent="0.25">
      <c r="C123" s="78"/>
    </row>
    <row r="124" spans="2:11" s="186" customFormat="1" x14ac:dyDescent="0.25">
      <c r="C124" s="78"/>
    </row>
  </sheetData>
  <sheetProtection formatCells="0" formatRows="0" insertColumns="0" insertRows="0" deleteColumns="0" deleteRows="0"/>
  <mergeCells count="38">
    <mergeCell ref="A1:P1"/>
    <mergeCell ref="A2:P2"/>
    <mergeCell ref="A3:P3"/>
    <mergeCell ref="A4:D4"/>
    <mergeCell ref="A5:P5"/>
    <mergeCell ref="B10:D10"/>
    <mergeCell ref="F10:S10"/>
    <mergeCell ref="F11:S11"/>
    <mergeCell ref="E12:R12"/>
    <mergeCell ref="E13:R13"/>
    <mergeCell ref="B85:B95"/>
    <mergeCell ref="B96:B114"/>
    <mergeCell ref="B69:G70"/>
    <mergeCell ref="H34:H35"/>
    <mergeCell ref="D31:K31"/>
    <mergeCell ref="F33:G33"/>
    <mergeCell ref="E34:E35"/>
    <mergeCell ref="F34:F35"/>
    <mergeCell ref="D32:K32"/>
    <mergeCell ref="D43:K43"/>
    <mergeCell ref="D44:K44"/>
    <mergeCell ref="B46:E46"/>
    <mergeCell ref="B47:B53"/>
    <mergeCell ref="B15:B42"/>
    <mergeCell ref="D15:K15"/>
    <mergeCell ref="D20:K20"/>
    <mergeCell ref="B76:B82"/>
    <mergeCell ref="B83:B84"/>
    <mergeCell ref="D83:D84"/>
    <mergeCell ref="C33:C35"/>
    <mergeCell ref="D33:D35"/>
    <mergeCell ref="B56:B62"/>
    <mergeCell ref="B55:E55"/>
    <mergeCell ref="D21:K21"/>
    <mergeCell ref="D22:D23"/>
    <mergeCell ref="E22:F22"/>
    <mergeCell ref="G22:J22"/>
    <mergeCell ref="C22:C23"/>
  </mergeCells>
  <conditionalFormatting sqref="D42">
    <cfRule type="containsText" dxfId="16" priority="5" operator="containsText" text="ERROR">
      <formula>NOT(ISERROR(SEARCH("ERROR",D42)))</formula>
    </cfRule>
  </conditionalFormatting>
  <conditionalFormatting sqref="F10">
    <cfRule type="notContainsBlanks" dxfId="15" priority="4">
      <formula>LEN(TRIM(F10))&gt;0</formula>
    </cfRule>
  </conditionalFormatting>
  <conditionalFormatting sqref="F11:S11">
    <cfRule type="expression" dxfId="14" priority="2">
      <formula>E11="NO SE REPORTA"</formula>
    </cfRule>
    <cfRule type="expression" dxfId="13" priority="3">
      <formula>E10="NO APLICA"</formula>
    </cfRule>
  </conditionalFormatting>
  <conditionalFormatting sqref="E12:R12">
    <cfRule type="expression" dxfId="12"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E18:H19 G24:J29">
      <formula1>0</formula1>
    </dataValidation>
    <dataValidation type="decimal" allowBlank="1" showInputMessage="1" showErrorMessage="1" errorTitle="ERROR" error="Escriba un valor entre 0% y 100%" sqref="E24:F29 D36:D41">
      <formula1>0</formula1>
      <formula2>1</formula2>
    </dataValidation>
    <dataValidation allowBlank="1" showInputMessage="1" showErrorMessage="1" sqref="D42 E36:G42 G30:J30"/>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51" r:id="rId1"/>
  </hyperlinks>
  <pageMargins left="0.25" right="0.25" top="0.75" bottom="0.75" header="0.3" footer="0.3"/>
  <pageSetup paperSize="178" orientation="landscape" horizontalDpi="1200" verticalDpi="120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zoomScale="98" zoomScaleNormal="98" workbookViewId="0">
      <selection activeCell="C16" sqref="C16"/>
    </sheetView>
  </sheetViews>
  <sheetFormatPr baseColWidth="10" defaultRowHeight="15" x14ac:dyDescent="0.25"/>
  <cols>
    <col min="1" max="1" width="8.140625" bestFit="1" customWidth="1"/>
    <col min="2" max="2" width="12.85546875" bestFit="1" customWidth="1"/>
    <col min="3" max="3" width="68.85546875" customWidth="1"/>
  </cols>
  <sheetData>
    <row r="1" spans="1:3" x14ac:dyDescent="0.25">
      <c r="A1" s="388" t="s">
        <v>1193</v>
      </c>
    </row>
    <row r="3" spans="1:3" x14ac:dyDescent="0.25">
      <c r="B3" s="172" t="s">
        <v>1191</v>
      </c>
    </row>
    <row r="5" spans="1:3" x14ac:dyDescent="0.25">
      <c r="B5" s="129"/>
      <c r="C5" s="171"/>
    </row>
    <row r="6" spans="1:3" x14ac:dyDescent="0.25">
      <c r="A6" s="157" t="s">
        <v>1189</v>
      </c>
      <c r="B6" s="157" t="s">
        <v>1190</v>
      </c>
      <c r="C6" s="157" t="s">
        <v>1188</v>
      </c>
    </row>
    <row r="7" spans="1:3" x14ac:dyDescent="0.25">
      <c r="A7" s="386"/>
      <c r="B7" s="386"/>
      <c r="C7" s="387"/>
    </row>
    <row r="8" spans="1:3" x14ac:dyDescent="0.25">
      <c r="A8" s="386"/>
      <c r="B8" s="386"/>
      <c r="C8" s="387"/>
    </row>
    <row r="9" spans="1:3" x14ac:dyDescent="0.25">
      <c r="A9" s="386"/>
      <c r="B9" s="386"/>
      <c r="C9" s="387"/>
    </row>
    <row r="10" spans="1:3" x14ac:dyDescent="0.25">
      <c r="A10" s="386"/>
      <c r="B10" s="386"/>
      <c r="C10" s="387"/>
    </row>
    <row r="11" spans="1:3" x14ac:dyDescent="0.25">
      <c r="A11" s="386"/>
      <c r="B11" s="386"/>
      <c r="C11" s="387"/>
    </row>
    <row r="12" spans="1:3" x14ac:dyDescent="0.25">
      <c r="A12" s="386"/>
      <c r="B12" s="386"/>
      <c r="C12" s="387"/>
    </row>
    <row r="13" spans="1:3" x14ac:dyDescent="0.25">
      <c r="A13" s="386"/>
      <c r="B13" s="386"/>
      <c r="C13" s="387"/>
    </row>
    <row r="14" spans="1:3" x14ac:dyDescent="0.25">
      <c r="A14" s="386"/>
      <c r="B14" s="386"/>
      <c r="C14" s="387"/>
    </row>
    <row r="15" spans="1:3" x14ac:dyDescent="0.25">
      <c r="A15" s="386"/>
      <c r="B15" s="386"/>
      <c r="C15" s="387"/>
    </row>
    <row r="16" spans="1:3" x14ac:dyDescent="0.25">
      <c r="A16" s="386"/>
      <c r="B16" s="386"/>
      <c r="C16" s="387"/>
    </row>
    <row r="17" spans="1:3" x14ac:dyDescent="0.25">
      <c r="A17" s="386"/>
      <c r="B17" s="386"/>
      <c r="C17" s="387"/>
    </row>
    <row r="18" spans="1:3" x14ac:dyDescent="0.25">
      <c r="A18" s="386"/>
      <c r="B18" s="386"/>
      <c r="C18" s="387"/>
    </row>
    <row r="19" spans="1:3" x14ac:dyDescent="0.25">
      <c r="A19" s="386"/>
      <c r="B19" s="386"/>
      <c r="C19" s="387"/>
    </row>
    <row r="20" spans="1:3" x14ac:dyDescent="0.25">
      <c r="A20" s="386"/>
      <c r="B20" s="386"/>
      <c r="C20" s="387"/>
    </row>
    <row r="21" spans="1:3" x14ac:dyDescent="0.25">
      <c r="A21" s="386"/>
      <c r="B21" s="386"/>
      <c r="C21" s="387"/>
    </row>
    <row r="22" spans="1:3" x14ac:dyDescent="0.25">
      <c r="A22" s="386"/>
      <c r="B22" s="386"/>
      <c r="C22" s="387"/>
    </row>
    <row r="23" spans="1:3" x14ac:dyDescent="0.25">
      <c r="A23" s="386"/>
      <c r="B23" s="386"/>
      <c r="C23" s="387"/>
    </row>
    <row r="24" spans="1:3" x14ac:dyDescent="0.25">
      <c r="A24" s="386"/>
      <c r="B24" s="386"/>
      <c r="C24" s="387"/>
    </row>
    <row r="25" spans="1:3" x14ac:dyDescent="0.25">
      <c r="A25" s="386"/>
      <c r="B25" s="386"/>
      <c r="C25" s="387"/>
    </row>
    <row r="26" spans="1:3" x14ac:dyDescent="0.25">
      <c r="A26" s="386"/>
      <c r="B26" s="386"/>
      <c r="C26" s="387"/>
    </row>
    <row r="27" spans="1:3" x14ac:dyDescent="0.25">
      <c r="A27" s="386"/>
      <c r="B27" s="386"/>
      <c r="C27" s="387"/>
    </row>
    <row r="28" spans="1:3" x14ac:dyDescent="0.25">
      <c r="A28" s="386"/>
      <c r="B28" s="386"/>
      <c r="C28" s="387"/>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hyperlinks>
  <pageMargins left="0.7" right="0.7" top="0.75" bottom="0.75" header="0.3" footer="0.3"/>
  <pageSetup paperSize="178"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activeCell="B3" sqref="B3"/>
    </sheetView>
  </sheetViews>
  <sheetFormatPr baseColWidth="10" defaultRowHeight="15" x14ac:dyDescent="0.25"/>
  <cols>
    <col min="1" max="1" width="3.28515625" bestFit="1" customWidth="1"/>
    <col min="2" max="2" width="42.85546875" customWidth="1"/>
    <col min="3" max="3" width="1" customWidth="1"/>
    <col min="6" max="6" width="11.140625" customWidth="1"/>
    <col min="9" max="9" width="11.7109375"/>
  </cols>
  <sheetData>
    <row r="1" spans="1:9" x14ac:dyDescent="0.25">
      <c r="A1" s="363" t="s">
        <v>1193</v>
      </c>
    </row>
    <row r="2" spans="1:9" x14ac:dyDescent="0.25">
      <c r="B2" t="s">
        <v>1195</v>
      </c>
    </row>
    <row r="3" spans="1:9" x14ac:dyDescent="0.25">
      <c r="C3" t="s">
        <v>888</v>
      </c>
    </row>
    <row r="5" spans="1:9" x14ac:dyDescent="0.25">
      <c r="A5" s="196" t="s">
        <v>1155</v>
      </c>
      <c r="B5" s="196" t="s">
        <v>1156</v>
      </c>
      <c r="C5" t="s">
        <v>888</v>
      </c>
      <c r="D5" s="319">
        <f>IF(SUM('1POMCAS'!E97:E99)=1,SUM('1POMCAS'!E97:E99),"ERROR: LA SUMA DE LA COLUMNA DEBE SER 100%")</f>
        <v>1</v>
      </c>
      <c r="E5" s="320" t="str">
        <f ca="1">IF(+'1POMCAS'!G97*'1POMCAS'!$E97+'1POMCAS'!G98*'1POMCAS'!$E98+'1POMCAS'!G99*'1POMCAS'!$E99=0,"N.A.",'1POMCAS'!G97*'1POMCAS'!$E97+'1POMCAS'!G98*'1POMCAS'!$E98+'1POMCAS'!G99*'1POMCAS'!$E99)</f>
        <v>N.A.</v>
      </c>
      <c r="F5" s="320">
        <f ca="1">IF(+'1POMCAS'!H97*'1POMCAS'!$E97+'1POMCAS'!H98*'1POMCAS'!$E98+'1POMCAS'!H99*'1POMCAS'!$E99=0,"N.A.",'1POMCAS'!H97*'1POMCAS'!$E97+'1POMCAS'!H98*'1POMCAS'!$E98+'1POMCAS'!H99*'1POMCAS'!$E99)</f>
        <v>0.8</v>
      </c>
      <c r="G5" s="320">
        <f ca="1">IF(+'1POMCAS'!I97*'1POMCAS'!$E97+'1POMCAS'!I98*'1POMCAS'!$E98+'1POMCAS'!I99*'1POMCAS'!$E99=0,"N.A.",'1POMCAS'!I97*'1POMCAS'!$E97+'1POMCAS'!I98*'1POMCAS'!$E98+'1POMCAS'!I99*'1POMCAS'!$E99)</f>
        <v>0.2</v>
      </c>
      <c r="H5" s="320" t="str">
        <f ca="1">IF(+'1POMCAS'!J97*'1POMCAS'!$E97+'1POMCAS'!J98*'1POMCAS'!$E98+'1POMCAS'!J99*'1POMCAS'!$E99=0,"N.A.",'1POMCAS'!J97*'1POMCAS'!$E97+'1POMCAS'!J98*'1POMCAS'!$E98+'1POMCAS'!J99*'1POMCAS'!$E99)</f>
        <v>N.A.</v>
      </c>
      <c r="I5" s="320"/>
    </row>
    <row r="6" spans="1:9" x14ac:dyDescent="0.25">
      <c r="A6" s="196" t="s">
        <v>1157</v>
      </c>
      <c r="B6" s="196" t="s">
        <v>131</v>
      </c>
      <c r="C6" t="s">
        <v>888</v>
      </c>
      <c r="D6" s="321"/>
      <c r="E6" s="321"/>
      <c r="F6" s="321"/>
      <c r="G6" s="321"/>
      <c r="H6" s="321"/>
      <c r="I6" s="321"/>
    </row>
    <row r="7" spans="1:9" x14ac:dyDescent="0.25">
      <c r="A7" s="196" t="s">
        <v>1158</v>
      </c>
      <c r="B7" s="196" t="s">
        <v>162</v>
      </c>
      <c r="C7" t="s">
        <v>888</v>
      </c>
      <c r="D7" s="321"/>
      <c r="E7" s="321"/>
      <c r="F7" s="321"/>
      <c r="G7" s="321"/>
      <c r="H7" s="321"/>
      <c r="I7" s="321"/>
    </row>
    <row r="8" spans="1:9" x14ac:dyDescent="0.25">
      <c r="A8" s="196" t="s">
        <v>1159</v>
      </c>
      <c r="B8" s="196" t="s">
        <v>183</v>
      </c>
      <c r="C8" t="s">
        <v>888</v>
      </c>
      <c r="D8" s="321"/>
      <c r="E8" s="321"/>
      <c r="F8" s="321"/>
      <c r="G8" s="321"/>
      <c r="H8" s="321"/>
      <c r="I8" s="321"/>
    </row>
    <row r="9" spans="1:9" x14ac:dyDescent="0.25">
      <c r="A9" s="196" t="s">
        <v>1160</v>
      </c>
      <c r="B9" s="196" t="s">
        <v>200</v>
      </c>
      <c r="C9" t="s">
        <v>888</v>
      </c>
      <c r="D9" s="321"/>
      <c r="E9" s="321"/>
      <c r="F9" s="321"/>
      <c r="G9" s="321"/>
      <c r="H9" s="321"/>
      <c r="I9" s="321"/>
    </row>
    <row r="10" spans="1:9" x14ac:dyDescent="0.25">
      <c r="A10" s="196" t="s">
        <v>1161</v>
      </c>
      <c r="B10" s="196" t="s">
        <v>220</v>
      </c>
      <c r="C10" t="s">
        <v>888</v>
      </c>
      <c r="D10" s="321"/>
      <c r="E10" s="321"/>
      <c r="F10" s="321"/>
      <c r="G10" s="321"/>
      <c r="H10" s="321"/>
      <c r="I10" s="321"/>
    </row>
    <row r="11" spans="1:9" x14ac:dyDescent="0.25">
      <c r="A11" s="196" t="s">
        <v>1162</v>
      </c>
      <c r="B11" s="196" t="s">
        <v>280</v>
      </c>
      <c r="C11" t="s">
        <v>888</v>
      </c>
      <c r="D11" s="321"/>
      <c r="E11" s="321"/>
      <c r="F11" s="321"/>
      <c r="G11" s="321"/>
      <c r="H11" s="321"/>
      <c r="I11" s="321"/>
    </row>
    <row r="12" spans="1:9" x14ac:dyDescent="0.25">
      <c r="A12" s="196" t="s">
        <v>1163</v>
      </c>
      <c r="B12" s="196" t="s">
        <v>314</v>
      </c>
      <c r="C12" t="s">
        <v>888</v>
      </c>
      <c r="D12" s="321"/>
      <c r="E12" s="321"/>
      <c r="F12" s="321"/>
      <c r="G12" s="321"/>
      <c r="H12" s="321"/>
      <c r="I12" s="321"/>
    </row>
    <row r="13" spans="1:9" x14ac:dyDescent="0.25">
      <c r="A13" s="196" t="s">
        <v>1164</v>
      </c>
      <c r="B13" s="196" t="s">
        <v>348</v>
      </c>
      <c r="C13" t="s">
        <v>888</v>
      </c>
      <c r="D13" s="321"/>
      <c r="E13" s="321"/>
      <c r="F13" s="321"/>
      <c r="G13" s="321"/>
      <c r="H13" s="321"/>
      <c r="I13" s="321"/>
    </row>
    <row r="14" spans="1:9" x14ac:dyDescent="0.25">
      <c r="A14" s="196" t="s">
        <v>1165</v>
      </c>
      <c r="B14" s="196" t="s">
        <v>396</v>
      </c>
      <c r="C14" t="s">
        <v>888</v>
      </c>
      <c r="D14" s="322"/>
      <c r="E14" s="322"/>
      <c r="F14" s="322"/>
      <c r="G14" s="322"/>
      <c r="H14" s="322"/>
      <c r="I14" s="322"/>
    </row>
    <row r="15" spans="1:9" x14ac:dyDescent="0.25">
      <c r="A15" s="196" t="s">
        <v>1166</v>
      </c>
      <c r="B15" s="196" t="s">
        <v>418</v>
      </c>
      <c r="C15" t="s">
        <v>888</v>
      </c>
      <c r="D15" s="295">
        <f>IF(SUM('11Forest'!E26:E29)='11Forest'!E20,SUM('11Forest'!E26:E29),"ERROR: LA SUMA DE LA COLUMNA DEBE SER IGUAL A LA META ANUAL")</f>
        <v>0</v>
      </c>
      <c r="E15" s="295">
        <f>IF(SUM('11Forest'!F26:F29)='11Forest'!E20,SUM('11Forest'!F26:F29),"ERROR: LA SUMA DE LA COLUMNA DEBE SER IGUAL A LA META ANUAL")</f>
        <v>0</v>
      </c>
      <c r="F15" s="295">
        <f>IF(SUM('11Forest'!G26:G29)='11Forest'!E20,SUM('11Forest'!G26:G29),"ERROR: LA SUMA DE LA COLUMNA DEBE SER IGUAL A LA META ANUAL")</f>
        <v>0</v>
      </c>
      <c r="G15" s="295">
        <f>IF(SUM('11Forest'!H26:H29)='11Forest'!E20,SUM('11Forest'!H26:H29),"ERROR: LA SUMA DE LA COLUMNA DEBE SER IGUAL A LA META ANUAL")</f>
        <v>0</v>
      </c>
      <c r="H15" s="295"/>
      <c r="I15" s="295">
        <f>IF(SUM('11Forest'!E25:H25)='11Forest'!E20,SUM('11Forest'!E25:H25),"ERROR: LA SUMA DE LA COLUMNA DEBE SER IGUAL A LA META ANUAL")</f>
        <v>0</v>
      </c>
    </row>
    <row r="16" spans="1:9" x14ac:dyDescent="0.25">
      <c r="A16" s="196" t="s">
        <v>1167</v>
      </c>
      <c r="B16" s="196" t="s">
        <v>449</v>
      </c>
      <c r="C16" t="s">
        <v>888</v>
      </c>
      <c r="D16" s="323"/>
      <c r="E16" s="323"/>
      <c r="F16" s="323"/>
      <c r="G16" s="323"/>
      <c r="H16" s="323"/>
      <c r="I16" s="323"/>
    </row>
    <row r="17" spans="1:9" x14ac:dyDescent="0.25">
      <c r="A17" s="196" t="s">
        <v>1168</v>
      </c>
      <c r="B17" s="196" t="s">
        <v>480</v>
      </c>
      <c r="C17" t="s">
        <v>888</v>
      </c>
      <c r="D17" s="321"/>
      <c r="E17" s="321"/>
      <c r="F17" s="321"/>
      <c r="G17" s="321"/>
      <c r="H17" s="321"/>
      <c r="I17" s="321"/>
    </row>
    <row r="18" spans="1:9" x14ac:dyDescent="0.25">
      <c r="A18" s="196" t="s">
        <v>1169</v>
      </c>
      <c r="B18" s="196" t="s">
        <v>526</v>
      </c>
      <c r="C18" t="s">
        <v>888</v>
      </c>
      <c r="D18" s="321"/>
      <c r="E18" s="321"/>
      <c r="F18" s="321"/>
      <c r="G18" s="321"/>
      <c r="H18" s="321"/>
      <c r="I18" s="321"/>
    </row>
    <row r="19" spans="1:9" x14ac:dyDescent="0.25">
      <c r="A19" s="196" t="s">
        <v>1170</v>
      </c>
      <c r="B19" s="196" t="s">
        <v>557</v>
      </c>
      <c r="C19" t="s">
        <v>888</v>
      </c>
      <c r="D19" s="321"/>
      <c r="E19" s="321"/>
      <c r="F19" s="321"/>
      <c r="G19" s="321"/>
      <c r="H19" s="321"/>
      <c r="I19" s="321"/>
    </row>
    <row r="20" spans="1:9" x14ac:dyDescent="0.25">
      <c r="A20" s="196" t="s">
        <v>1171</v>
      </c>
      <c r="B20" s="196" t="s">
        <v>585</v>
      </c>
      <c r="C20" t="s">
        <v>888</v>
      </c>
      <c r="D20" s="319">
        <f>IF(SUM('16MIZC'!H22:H29)=1,SUM('16MIZC'!H22:H29),"ERROR: LA SUMA DE LA COLUMNA DEBE SER 100%")</f>
        <v>1</v>
      </c>
      <c r="E20" s="324">
        <f>SUM('16MIZC'!I22:I29)</f>
        <v>1</v>
      </c>
      <c r="F20" s="321"/>
      <c r="G20" s="321"/>
      <c r="H20" s="321"/>
      <c r="I20" s="321"/>
    </row>
    <row r="21" spans="1:9" x14ac:dyDescent="0.25">
      <c r="A21" s="196" t="s">
        <v>1172</v>
      </c>
      <c r="B21" s="196" t="s">
        <v>634</v>
      </c>
      <c r="C21" t="s">
        <v>888</v>
      </c>
      <c r="D21" s="321"/>
      <c r="E21" s="321"/>
      <c r="F21" s="321"/>
      <c r="G21" s="321"/>
      <c r="H21" s="321"/>
      <c r="I21" s="321"/>
    </row>
    <row r="22" spans="1:9" x14ac:dyDescent="0.25">
      <c r="A22" s="196" t="s">
        <v>1173</v>
      </c>
      <c r="B22" s="196" t="s">
        <v>655</v>
      </c>
      <c r="C22" t="s">
        <v>888</v>
      </c>
      <c r="D22" s="319">
        <f>IF(SUM('18Sector'!D37:D44)=1,SUM('18Sector'!D37:D44),"ERROR: LA SUMA DE LA COLUMNA DEBE SER 100%")</f>
        <v>1</v>
      </c>
      <c r="E22" s="321"/>
      <c r="F22" s="321"/>
      <c r="G22" s="321"/>
      <c r="H22" s="321"/>
      <c r="I22" s="321"/>
    </row>
    <row r="23" spans="1:9" x14ac:dyDescent="0.25">
      <c r="A23" s="196" t="s">
        <v>1174</v>
      </c>
      <c r="B23" s="196" t="s">
        <v>704</v>
      </c>
      <c r="C23" t="s">
        <v>888</v>
      </c>
      <c r="D23" s="319">
        <f>IF(SUM('19GAU'!H23:H29)=1,SUM('19GAU'!H23:H29),"ERROR: LA SUMA DE LA COLUMNA DEBE SER 100%")</f>
        <v>1</v>
      </c>
      <c r="E23" s="324">
        <f>SUM('19GAU'!I22:I29)</f>
        <v>1</v>
      </c>
      <c r="F23" s="321"/>
      <c r="G23" s="321"/>
      <c r="H23" s="321"/>
      <c r="I23" s="321"/>
    </row>
    <row r="24" spans="1:9" x14ac:dyDescent="0.25">
      <c r="A24" s="196" t="s">
        <v>1175</v>
      </c>
      <c r="B24" s="196" t="s">
        <v>779</v>
      </c>
      <c r="C24" t="s">
        <v>888</v>
      </c>
      <c r="D24" s="319">
        <f>IF(SUM('20Negoc'!D36:D41)=1,SUM('20Negoc'!D36:D41),"ERROR: LA SUMA DE LA COLUMNA DEBE SER 100%")</f>
        <v>1</v>
      </c>
      <c r="E24" s="325">
        <f>+'20Negoc'!J30/'20Negoc'!I30</f>
        <v>4.2105263157894736E-2</v>
      </c>
      <c r="F24" s="325">
        <f>+'20Negoc'!K30/'20Negoc'!J30</f>
        <v>1</v>
      </c>
      <c r="G24" s="321"/>
      <c r="H24" s="321"/>
      <c r="I24" s="321"/>
    </row>
    <row r="25" spans="1:9" x14ac:dyDescent="0.25">
      <c r="A25" s="196" t="s">
        <v>1176</v>
      </c>
      <c r="B25" s="196" t="s">
        <v>839</v>
      </c>
      <c r="C25" t="s">
        <v>888</v>
      </c>
      <c r="D25" s="321"/>
      <c r="E25" s="321"/>
      <c r="F25" s="321"/>
      <c r="G25" s="321"/>
      <c r="H25" s="321"/>
      <c r="I25" s="321"/>
    </row>
    <row r="26" spans="1:9" x14ac:dyDescent="0.25">
      <c r="A26" s="196" t="s">
        <v>1177</v>
      </c>
      <c r="B26" s="196" t="s">
        <v>887</v>
      </c>
      <c r="C26" t="s">
        <v>888</v>
      </c>
      <c r="D26" s="319">
        <f>IF(SUM('22Autor'!F117:F121)=1,SUM('22Autor'!F117:F121),"ERROR: LA SUMA DE LA COLUMNA DEBE SER 100%")</f>
        <v>1</v>
      </c>
      <c r="E26" s="321"/>
      <c r="F26" s="321"/>
      <c r="G26" s="321"/>
      <c r="H26" s="321"/>
      <c r="I26" s="321"/>
    </row>
    <row r="27" spans="1:9" x14ac:dyDescent="0.25">
      <c r="A27" s="196" t="s">
        <v>1178</v>
      </c>
      <c r="B27" s="196" t="s">
        <v>951</v>
      </c>
      <c r="C27" t="s">
        <v>888</v>
      </c>
      <c r="D27" s="321"/>
      <c r="E27" s="321"/>
      <c r="F27" s="321"/>
      <c r="G27" s="321"/>
      <c r="H27" s="321"/>
      <c r="I27" s="321"/>
    </row>
    <row r="28" spans="1:9" ht="15.75" thickBot="1" x14ac:dyDescent="0.3">
      <c r="A28" s="196" t="s">
        <v>1179</v>
      </c>
      <c r="B28" s="196" t="s">
        <v>972</v>
      </c>
      <c r="C28" t="s">
        <v>888</v>
      </c>
      <c r="D28" s="321"/>
      <c r="E28" s="321"/>
      <c r="F28" s="321"/>
      <c r="G28" s="321"/>
      <c r="H28" s="321"/>
      <c r="I28" s="321"/>
    </row>
    <row r="29" spans="1:9" ht="15.75" thickBot="1" x14ac:dyDescent="0.3">
      <c r="A29" s="196" t="s">
        <v>1180</v>
      </c>
      <c r="B29" s="196" t="s">
        <v>1001</v>
      </c>
      <c r="C29" t="s">
        <v>888</v>
      </c>
      <c r="D29" s="309" t="str">
        <f>IF(SUM('25Redes'!F79:F80)=1,"","ERROR: LA SUMA DE LAS PONDERACIONES DEBE SER 100%")</f>
        <v/>
      </c>
      <c r="E29" s="319">
        <f>+'25Redes'!E79*'25Redes'!F79+'25Redes'!E80*'25Redes'!F80</f>
        <v>1</v>
      </c>
      <c r="F29" s="321"/>
      <c r="G29" s="321"/>
      <c r="H29" s="321"/>
      <c r="I29" s="321"/>
    </row>
    <row r="30" spans="1:9" x14ac:dyDescent="0.25">
      <c r="A30" s="196" t="s">
        <v>1181</v>
      </c>
      <c r="B30" s="196" t="s">
        <v>1074</v>
      </c>
      <c r="C30" t="s">
        <v>888</v>
      </c>
      <c r="D30" s="321"/>
      <c r="E30" s="321"/>
      <c r="F30" s="321"/>
      <c r="G30" s="321"/>
      <c r="H30" s="321"/>
      <c r="I30" s="321"/>
    </row>
    <row r="31" spans="1:9" x14ac:dyDescent="0.25">
      <c r="A31" s="196" t="s">
        <v>1182</v>
      </c>
      <c r="B31" s="196" t="s">
        <v>1121</v>
      </c>
      <c r="C31" t="s">
        <v>888</v>
      </c>
      <c r="D31" s="319">
        <f>IF(SUM('27Educa'!D36:D41)=1,SUM('27Educa'!D36:D41),"ERROR: LA SUMA DE LA COLUMNA DEBE SER 100%")</f>
        <v>1</v>
      </c>
      <c r="E31" s="321"/>
      <c r="F31" s="321"/>
      <c r="G31" s="321"/>
      <c r="H31" s="321"/>
      <c r="I31" s="321"/>
    </row>
    <row r="32" spans="1:9" x14ac:dyDescent="0.25">
      <c r="C32" t="s">
        <v>888</v>
      </c>
    </row>
    <row r="33" spans="3:6" x14ac:dyDescent="0.25">
      <c r="C33" t="s">
        <v>888</v>
      </c>
      <c r="D33" s="364" t="s">
        <v>1247</v>
      </c>
      <c r="F33" s="368" t="s">
        <v>1249</v>
      </c>
    </row>
    <row r="34" spans="3:6" x14ac:dyDescent="0.25">
      <c r="C34" t="s">
        <v>888</v>
      </c>
      <c r="D34" s="364" t="s">
        <v>1246</v>
      </c>
      <c r="F34" s="368" t="s">
        <v>1248</v>
      </c>
    </row>
    <row r="35" spans="3:6" x14ac:dyDescent="0.25">
      <c r="C35" t="s">
        <v>888</v>
      </c>
    </row>
    <row r="36" spans="3:6" x14ac:dyDescent="0.25">
      <c r="C36" t="s">
        <v>888</v>
      </c>
    </row>
    <row r="37" spans="3:6" x14ac:dyDescent="0.25">
      <c r="C37" t="s">
        <v>888</v>
      </c>
    </row>
    <row r="38" spans="3:6" x14ac:dyDescent="0.25">
      <c r="C38" t="s">
        <v>888</v>
      </c>
    </row>
    <row r="39" spans="3:6" x14ac:dyDescent="0.25">
      <c r="C39" t="s">
        <v>888</v>
      </c>
    </row>
    <row r="40" spans="3:6" x14ac:dyDescent="0.25">
      <c r="C40" t="s">
        <v>888</v>
      </c>
    </row>
    <row r="41" spans="3:6" x14ac:dyDescent="0.25">
      <c r="C41" t="s">
        <v>888</v>
      </c>
    </row>
    <row r="42" spans="3:6" x14ac:dyDescent="0.25">
      <c r="C42" t="s">
        <v>888</v>
      </c>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31">
    <cfRule type="containsText" dxfId="11" priority="12" operator="containsText" text="ERROR">
      <formula>NOT(ISERROR(SEARCH("ERROR",D31)))</formula>
    </cfRule>
  </conditionalFormatting>
  <conditionalFormatting sqref="D5">
    <cfRule type="containsText" dxfId="10" priority="11" operator="containsText" text="ERROR">
      <formula>NOT(ISERROR(SEARCH("ERROR",D5)))</formula>
    </cfRule>
  </conditionalFormatting>
  <conditionalFormatting sqref="D20">
    <cfRule type="containsText" dxfId="9" priority="10" operator="containsText" text="ERROR">
      <formula>NOT(ISERROR(SEARCH("ERROR",D20)))</formula>
    </cfRule>
  </conditionalFormatting>
  <conditionalFormatting sqref="D22">
    <cfRule type="containsText" dxfId="8" priority="9" operator="containsText" text="ERROR">
      <formula>NOT(ISERROR(SEARCH("ERROR",D22)))</formula>
    </cfRule>
  </conditionalFormatting>
  <conditionalFormatting sqref="D23">
    <cfRule type="containsText" dxfId="7" priority="8" operator="containsText" text="ERROR">
      <formula>NOT(ISERROR(SEARCH("ERROR",D23)))</formula>
    </cfRule>
  </conditionalFormatting>
  <conditionalFormatting sqref="D24">
    <cfRule type="containsText" dxfId="6" priority="7" operator="containsText" text="ERROR">
      <formula>NOT(ISERROR(SEARCH("ERROR",D24)))</formula>
    </cfRule>
  </conditionalFormatting>
  <conditionalFormatting sqref="D15">
    <cfRule type="containsText" dxfId="5" priority="6" operator="containsText" text="ERROR">
      <formula>NOT(ISERROR(SEARCH("ERROR",D15)))</formula>
    </cfRule>
  </conditionalFormatting>
  <conditionalFormatting sqref="H15">
    <cfRule type="containsText" dxfId="4" priority="4" operator="containsText" text="ERROR">
      <formula>NOT(ISERROR(SEARCH("ERROR",H15)))</formula>
    </cfRule>
  </conditionalFormatting>
  <conditionalFormatting sqref="E15:G15">
    <cfRule type="containsText" dxfId="3" priority="5" operator="containsText" text="ERROR">
      <formula>NOT(ISERROR(SEARCH("ERROR",E15)))</formula>
    </cfRule>
  </conditionalFormatting>
  <conditionalFormatting sqref="D29">
    <cfRule type="containsText" dxfId="2" priority="3" operator="containsText" text="ERROR">
      <formula>NOT(ISERROR(SEARCH("ERROR",D29)))</formula>
    </cfRule>
  </conditionalFormatting>
  <conditionalFormatting sqref="D26">
    <cfRule type="containsText" dxfId="1" priority="2" operator="containsText" text="ERROR">
      <formula>NOT(ISERROR(SEARCH("ERROR",D26)))</formula>
    </cfRule>
  </conditionalFormatting>
  <conditionalFormatting sqref="I15">
    <cfRule type="containsText" dxfId="0" priority="1" operator="containsText" text="ERROR">
      <formula>NOT(ISERROR(SEARCH("ERROR",I15)))</formula>
    </cfRule>
  </conditionalFormatting>
  <hyperlinks>
    <hyperlink ref="A1" location="'ANEXO 3'!A1" display="VOLVER AL INDICE"/>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BZ1007"/>
  <sheetViews>
    <sheetView zoomScale="80" zoomScaleNormal="80" zoomScaleSheetLayoutView="100" workbookViewId="0">
      <selection activeCell="X28" sqref="X28"/>
    </sheetView>
  </sheetViews>
  <sheetFormatPr baseColWidth="10" defaultRowHeight="36" customHeight="1" x14ac:dyDescent="0.25"/>
  <cols>
    <col min="1" max="1" width="10" style="584" customWidth="1"/>
    <col min="2" max="2" width="14.7109375" style="584" customWidth="1"/>
    <col min="3" max="3" width="14.140625" style="584" customWidth="1"/>
    <col min="4" max="4" width="16.140625" style="584" customWidth="1"/>
    <col min="5" max="6" width="11.42578125" style="584"/>
    <col min="7" max="7" width="11.42578125" style="584" customWidth="1"/>
    <col min="8" max="10" width="11.42578125" style="584"/>
    <col min="11" max="11" width="57.7109375" style="717" customWidth="1"/>
    <col min="12" max="12" width="23.140625" style="584" customWidth="1"/>
    <col min="13" max="13" width="22.5703125" style="584" customWidth="1"/>
    <col min="14" max="14" width="21.140625" style="584" customWidth="1"/>
    <col min="15" max="15" width="23.85546875" style="584" customWidth="1"/>
    <col min="16" max="16" width="25.7109375" style="584" customWidth="1"/>
    <col min="17" max="17" width="23.7109375" style="584" customWidth="1"/>
    <col min="18" max="18" width="20.7109375" style="584" customWidth="1"/>
    <col min="19" max="19" width="21.140625" style="584" customWidth="1"/>
    <col min="20" max="20" width="23.7109375" style="584" customWidth="1"/>
    <col min="21" max="21" width="23.140625" style="584" customWidth="1"/>
    <col min="22" max="22" width="14" style="584" customWidth="1"/>
    <col min="23" max="23" width="29.140625" style="584" hidden="1" customWidth="1"/>
    <col min="24" max="24" width="19.28515625" style="584" customWidth="1"/>
    <col min="25" max="25" width="21.5703125" style="584" customWidth="1"/>
    <col min="26" max="26" width="20.7109375" style="584" customWidth="1"/>
    <col min="27" max="27" width="20.85546875" style="584" customWidth="1"/>
    <col min="28" max="256" width="11.42578125" style="584"/>
    <col min="257" max="257" width="10" style="584" customWidth="1"/>
    <col min="258" max="258" width="14.7109375" style="584" customWidth="1"/>
    <col min="259" max="259" width="14.140625" style="584" customWidth="1"/>
    <col min="260" max="260" width="16.140625" style="584" customWidth="1"/>
    <col min="261" max="266" width="11.42578125" style="584"/>
    <col min="267" max="267" width="57.7109375" style="584" customWidth="1"/>
    <col min="268" max="270" width="0" style="584" hidden="1" customWidth="1"/>
    <col min="271" max="271" width="23.85546875" style="584" customWidth="1"/>
    <col min="272" max="272" width="25.7109375" style="584" customWidth="1"/>
    <col min="273" max="273" width="23.7109375" style="584" customWidth="1"/>
    <col min="274" max="274" width="20.7109375" style="584" customWidth="1"/>
    <col min="275" max="275" width="21.140625" style="584" bestFit="1" customWidth="1"/>
    <col min="276" max="276" width="0" style="584" hidden="1" customWidth="1"/>
    <col min="277" max="277" width="23.140625" style="584" customWidth="1"/>
    <col min="278" max="278" width="14" style="584" customWidth="1"/>
    <col min="279" max="279" width="29.140625" style="584" customWidth="1"/>
    <col min="280" max="280" width="19.28515625" style="584" customWidth="1"/>
    <col min="281" max="281" width="21.5703125" style="584" customWidth="1"/>
    <col min="282" max="282" width="20.7109375" style="584" customWidth="1"/>
    <col min="283" max="283" width="20.85546875" style="584" customWidth="1"/>
    <col min="284" max="512" width="11.42578125" style="584"/>
    <col min="513" max="513" width="10" style="584" customWidth="1"/>
    <col min="514" max="514" width="14.7109375" style="584" customWidth="1"/>
    <col min="515" max="515" width="14.140625" style="584" customWidth="1"/>
    <col min="516" max="516" width="16.140625" style="584" customWidth="1"/>
    <col min="517" max="522" width="11.42578125" style="584"/>
    <col min="523" max="523" width="57.7109375" style="584" customWidth="1"/>
    <col min="524" max="526" width="0" style="584" hidden="1" customWidth="1"/>
    <col min="527" max="527" width="23.85546875" style="584" customWidth="1"/>
    <col min="528" max="528" width="25.7109375" style="584" customWidth="1"/>
    <col min="529" max="529" width="23.7109375" style="584" customWidth="1"/>
    <col min="530" max="530" width="20.7109375" style="584" customWidth="1"/>
    <col min="531" max="531" width="21.140625" style="584" bestFit="1" customWidth="1"/>
    <col min="532" max="532" width="0" style="584" hidden="1" customWidth="1"/>
    <col min="533" max="533" width="23.140625" style="584" customWidth="1"/>
    <col min="534" max="534" width="14" style="584" customWidth="1"/>
    <col min="535" max="535" width="29.140625" style="584" customWidth="1"/>
    <col min="536" max="536" width="19.28515625" style="584" customWidth="1"/>
    <col min="537" max="537" width="21.5703125" style="584" customWidth="1"/>
    <col min="538" max="538" width="20.7109375" style="584" customWidth="1"/>
    <col min="539" max="539" width="20.85546875" style="584" customWidth="1"/>
    <col min="540" max="768" width="11.42578125" style="584"/>
    <col min="769" max="769" width="10" style="584" customWidth="1"/>
    <col min="770" max="770" width="14.7109375" style="584" customWidth="1"/>
    <col min="771" max="771" width="14.140625" style="584" customWidth="1"/>
    <col min="772" max="772" width="16.140625" style="584" customWidth="1"/>
    <col min="773" max="778" width="11.42578125" style="584"/>
    <col min="779" max="779" width="57.7109375" style="584" customWidth="1"/>
    <col min="780" max="782" width="0" style="584" hidden="1" customWidth="1"/>
    <col min="783" max="783" width="23.85546875" style="584" customWidth="1"/>
    <col min="784" max="784" width="25.7109375" style="584" customWidth="1"/>
    <col min="785" max="785" width="23.7109375" style="584" customWidth="1"/>
    <col min="786" max="786" width="20.7109375" style="584" customWidth="1"/>
    <col min="787" max="787" width="21.140625" style="584" bestFit="1" customWidth="1"/>
    <col min="788" max="788" width="0" style="584" hidden="1" customWidth="1"/>
    <col min="789" max="789" width="23.140625" style="584" customWidth="1"/>
    <col min="790" max="790" width="14" style="584" customWidth="1"/>
    <col min="791" max="791" width="29.140625" style="584" customWidth="1"/>
    <col min="792" max="792" width="19.28515625" style="584" customWidth="1"/>
    <col min="793" max="793" width="21.5703125" style="584" customWidth="1"/>
    <col min="794" max="794" width="20.7109375" style="584" customWidth="1"/>
    <col min="795" max="795" width="20.85546875" style="584" customWidth="1"/>
    <col min="796" max="1024" width="11.42578125" style="584"/>
    <col min="1025" max="1025" width="10" style="584" customWidth="1"/>
    <col min="1026" max="1026" width="14.7109375" style="584" customWidth="1"/>
    <col min="1027" max="1027" width="14.140625" style="584" customWidth="1"/>
    <col min="1028" max="1028" width="16.140625" style="584" customWidth="1"/>
    <col min="1029" max="1034" width="11.42578125" style="584"/>
    <col min="1035" max="1035" width="57.7109375" style="584" customWidth="1"/>
    <col min="1036" max="1038" width="0" style="584" hidden="1" customWidth="1"/>
    <col min="1039" max="1039" width="23.85546875" style="584" customWidth="1"/>
    <col min="1040" max="1040" width="25.7109375" style="584" customWidth="1"/>
    <col min="1041" max="1041" width="23.7109375" style="584" customWidth="1"/>
    <col min="1042" max="1042" width="20.7109375" style="584" customWidth="1"/>
    <col min="1043" max="1043" width="21.140625" style="584" bestFit="1" customWidth="1"/>
    <col min="1044" max="1044" width="0" style="584" hidden="1" customWidth="1"/>
    <col min="1045" max="1045" width="23.140625" style="584" customWidth="1"/>
    <col min="1046" max="1046" width="14" style="584" customWidth="1"/>
    <col min="1047" max="1047" width="29.140625" style="584" customWidth="1"/>
    <col min="1048" max="1048" width="19.28515625" style="584" customWidth="1"/>
    <col min="1049" max="1049" width="21.5703125" style="584" customWidth="1"/>
    <col min="1050" max="1050" width="20.7109375" style="584" customWidth="1"/>
    <col min="1051" max="1051" width="20.85546875" style="584" customWidth="1"/>
    <col min="1052" max="1280" width="11.42578125" style="584"/>
    <col min="1281" max="1281" width="10" style="584" customWidth="1"/>
    <col min="1282" max="1282" width="14.7109375" style="584" customWidth="1"/>
    <col min="1283" max="1283" width="14.140625" style="584" customWidth="1"/>
    <col min="1284" max="1284" width="16.140625" style="584" customWidth="1"/>
    <col min="1285" max="1290" width="11.42578125" style="584"/>
    <col min="1291" max="1291" width="57.7109375" style="584" customWidth="1"/>
    <col min="1292" max="1294" width="0" style="584" hidden="1" customWidth="1"/>
    <col min="1295" max="1295" width="23.85546875" style="584" customWidth="1"/>
    <col min="1296" max="1296" width="25.7109375" style="584" customWidth="1"/>
    <col min="1297" max="1297" width="23.7109375" style="584" customWidth="1"/>
    <col min="1298" max="1298" width="20.7109375" style="584" customWidth="1"/>
    <col min="1299" max="1299" width="21.140625" style="584" bestFit="1" customWidth="1"/>
    <col min="1300" max="1300" width="0" style="584" hidden="1" customWidth="1"/>
    <col min="1301" max="1301" width="23.140625" style="584" customWidth="1"/>
    <col min="1302" max="1302" width="14" style="584" customWidth="1"/>
    <col min="1303" max="1303" width="29.140625" style="584" customWidth="1"/>
    <col min="1304" max="1304" width="19.28515625" style="584" customWidth="1"/>
    <col min="1305" max="1305" width="21.5703125" style="584" customWidth="1"/>
    <col min="1306" max="1306" width="20.7109375" style="584" customWidth="1"/>
    <col min="1307" max="1307" width="20.85546875" style="584" customWidth="1"/>
    <col min="1308" max="1536" width="11.42578125" style="584"/>
    <col min="1537" max="1537" width="10" style="584" customWidth="1"/>
    <col min="1538" max="1538" width="14.7109375" style="584" customWidth="1"/>
    <col min="1539" max="1539" width="14.140625" style="584" customWidth="1"/>
    <col min="1540" max="1540" width="16.140625" style="584" customWidth="1"/>
    <col min="1541" max="1546" width="11.42578125" style="584"/>
    <col min="1547" max="1547" width="57.7109375" style="584" customWidth="1"/>
    <col min="1548" max="1550" width="0" style="584" hidden="1" customWidth="1"/>
    <col min="1551" max="1551" width="23.85546875" style="584" customWidth="1"/>
    <col min="1552" max="1552" width="25.7109375" style="584" customWidth="1"/>
    <col min="1553" max="1553" width="23.7109375" style="584" customWidth="1"/>
    <col min="1554" max="1554" width="20.7109375" style="584" customWidth="1"/>
    <col min="1555" max="1555" width="21.140625" style="584" bestFit="1" customWidth="1"/>
    <col min="1556" max="1556" width="0" style="584" hidden="1" customWidth="1"/>
    <col min="1557" max="1557" width="23.140625" style="584" customWidth="1"/>
    <col min="1558" max="1558" width="14" style="584" customWidth="1"/>
    <col min="1559" max="1559" width="29.140625" style="584" customWidth="1"/>
    <col min="1560" max="1560" width="19.28515625" style="584" customWidth="1"/>
    <col min="1561" max="1561" width="21.5703125" style="584" customWidth="1"/>
    <col min="1562" max="1562" width="20.7109375" style="584" customWidth="1"/>
    <col min="1563" max="1563" width="20.85546875" style="584" customWidth="1"/>
    <col min="1564" max="1792" width="11.42578125" style="584"/>
    <col min="1793" max="1793" width="10" style="584" customWidth="1"/>
    <col min="1794" max="1794" width="14.7109375" style="584" customWidth="1"/>
    <col min="1795" max="1795" width="14.140625" style="584" customWidth="1"/>
    <col min="1796" max="1796" width="16.140625" style="584" customWidth="1"/>
    <col min="1797" max="1802" width="11.42578125" style="584"/>
    <col min="1803" max="1803" width="57.7109375" style="584" customWidth="1"/>
    <col min="1804" max="1806" width="0" style="584" hidden="1" customWidth="1"/>
    <col min="1807" max="1807" width="23.85546875" style="584" customWidth="1"/>
    <col min="1808" max="1808" width="25.7109375" style="584" customWidth="1"/>
    <col min="1809" max="1809" width="23.7109375" style="584" customWidth="1"/>
    <col min="1810" max="1810" width="20.7109375" style="584" customWidth="1"/>
    <col min="1811" max="1811" width="21.140625" style="584" bestFit="1" customWidth="1"/>
    <col min="1812" max="1812" width="0" style="584" hidden="1" customWidth="1"/>
    <col min="1813" max="1813" width="23.140625" style="584" customWidth="1"/>
    <col min="1814" max="1814" width="14" style="584" customWidth="1"/>
    <col min="1815" max="1815" width="29.140625" style="584" customWidth="1"/>
    <col min="1816" max="1816" width="19.28515625" style="584" customWidth="1"/>
    <col min="1817" max="1817" width="21.5703125" style="584" customWidth="1"/>
    <col min="1818" max="1818" width="20.7109375" style="584" customWidth="1"/>
    <col min="1819" max="1819" width="20.85546875" style="584" customWidth="1"/>
    <col min="1820" max="2048" width="11.42578125" style="584"/>
    <col min="2049" max="2049" width="10" style="584" customWidth="1"/>
    <col min="2050" max="2050" width="14.7109375" style="584" customWidth="1"/>
    <col min="2051" max="2051" width="14.140625" style="584" customWidth="1"/>
    <col min="2052" max="2052" width="16.140625" style="584" customWidth="1"/>
    <col min="2053" max="2058" width="11.42578125" style="584"/>
    <col min="2059" max="2059" width="57.7109375" style="584" customWidth="1"/>
    <col min="2060" max="2062" width="0" style="584" hidden="1" customWidth="1"/>
    <col min="2063" max="2063" width="23.85546875" style="584" customWidth="1"/>
    <col min="2064" max="2064" width="25.7109375" style="584" customWidth="1"/>
    <col min="2065" max="2065" width="23.7109375" style="584" customWidth="1"/>
    <col min="2066" max="2066" width="20.7109375" style="584" customWidth="1"/>
    <col min="2067" max="2067" width="21.140625" style="584" bestFit="1" customWidth="1"/>
    <col min="2068" max="2068" width="0" style="584" hidden="1" customWidth="1"/>
    <col min="2069" max="2069" width="23.140625" style="584" customWidth="1"/>
    <col min="2070" max="2070" width="14" style="584" customWidth="1"/>
    <col min="2071" max="2071" width="29.140625" style="584" customWidth="1"/>
    <col min="2072" max="2072" width="19.28515625" style="584" customWidth="1"/>
    <col min="2073" max="2073" width="21.5703125" style="584" customWidth="1"/>
    <col min="2074" max="2074" width="20.7109375" style="584" customWidth="1"/>
    <col min="2075" max="2075" width="20.85546875" style="584" customWidth="1"/>
    <col min="2076" max="2304" width="11.42578125" style="584"/>
    <col min="2305" max="2305" width="10" style="584" customWidth="1"/>
    <col min="2306" max="2306" width="14.7109375" style="584" customWidth="1"/>
    <col min="2307" max="2307" width="14.140625" style="584" customWidth="1"/>
    <col min="2308" max="2308" width="16.140625" style="584" customWidth="1"/>
    <col min="2309" max="2314" width="11.42578125" style="584"/>
    <col min="2315" max="2315" width="57.7109375" style="584" customWidth="1"/>
    <col min="2316" max="2318" width="0" style="584" hidden="1" customWidth="1"/>
    <col min="2319" max="2319" width="23.85546875" style="584" customWidth="1"/>
    <col min="2320" max="2320" width="25.7109375" style="584" customWidth="1"/>
    <col min="2321" max="2321" width="23.7109375" style="584" customWidth="1"/>
    <col min="2322" max="2322" width="20.7109375" style="584" customWidth="1"/>
    <col min="2323" max="2323" width="21.140625" style="584" bestFit="1" customWidth="1"/>
    <col min="2324" max="2324" width="0" style="584" hidden="1" customWidth="1"/>
    <col min="2325" max="2325" width="23.140625" style="584" customWidth="1"/>
    <col min="2326" max="2326" width="14" style="584" customWidth="1"/>
    <col min="2327" max="2327" width="29.140625" style="584" customWidth="1"/>
    <col min="2328" max="2328" width="19.28515625" style="584" customWidth="1"/>
    <col min="2329" max="2329" width="21.5703125" style="584" customWidth="1"/>
    <col min="2330" max="2330" width="20.7109375" style="584" customWidth="1"/>
    <col min="2331" max="2331" width="20.85546875" style="584" customWidth="1"/>
    <col min="2332" max="2560" width="11.42578125" style="584"/>
    <col min="2561" max="2561" width="10" style="584" customWidth="1"/>
    <col min="2562" max="2562" width="14.7109375" style="584" customWidth="1"/>
    <col min="2563" max="2563" width="14.140625" style="584" customWidth="1"/>
    <col min="2564" max="2564" width="16.140625" style="584" customWidth="1"/>
    <col min="2565" max="2570" width="11.42578125" style="584"/>
    <col min="2571" max="2571" width="57.7109375" style="584" customWidth="1"/>
    <col min="2572" max="2574" width="0" style="584" hidden="1" customWidth="1"/>
    <col min="2575" max="2575" width="23.85546875" style="584" customWidth="1"/>
    <col min="2576" max="2576" width="25.7109375" style="584" customWidth="1"/>
    <col min="2577" max="2577" width="23.7109375" style="584" customWidth="1"/>
    <col min="2578" max="2578" width="20.7109375" style="584" customWidth="1"/>
    <col min="2579" max="2579" width="21.140625" style="584" bestFit="1" customWidth="1"/>
    <col min="2580" max="2580" width="0" style="584" hidden="1" customWidth="1"/>
    <col min="2581" max="2581" width="23.140625" style="584" customWidth="1"/>
    <col min="2582" max="2582" width="14" style="584" customWidth="1"/>
    <col min="2583" max="2583" width="29.140625" style="584" customWidth="1"/>
    <col min="2584" max="2584" width="19.28515625" style="584" customWidth="1"/>
    <col min="2585" max="2585" width="21.5703125" style="584" customWidth="1"/>
    <col min="2586" max="2586" width="20.7109375" style="584" customWidth="1"/>
    <col min="2587" max="2587" width="20.85546875" style="584" customWidth="1"/>
    <col min="2588" max="2816" width="11.42578125" style="584"/>
    <col min="2817" max="2817" width="10" style="584" customWidth="1"/>
    <col min="2818" max="2818" width="14.7109375" style="584" customWidth="1"/>
    <col min="2819" max="2819" width="14.140625" style="584" customWidth="1"/>
    <col min="2820" max="2820" width="16.140625" style="584" customWidth="1"/>
    <col min="2821" max="2826" width="11.42578125" style="584"/>
    <col min="2827" max="2827" width="57.7109375" style="584" customWidth="1"/>
    <col min="2828" max="2830" width="0" style="584" hidden="1" customWidth="1"/>
    <col min="2831" max="2831" width="23.85546875" style="584" customWidth="1"/>
    <col min="2832" max="2832" width="25.7109375" style="584" customWidth="1"/>
    <col min="2833" max="2833" width="23.7109375" style="584" customWidth="1"/>
    <col min="2834" max="2834" width="20.7109375" style="584" customWidth="1"/>
    <col min="2835" max="2835" width="21.140625" style="584" bestFit="1" customWidth="1"/>
    <col min="2836" max="2836" width="0" style="584" hidden="1" customWidth="1"/>
    <col min="2837" max="2837" width="23.140625" style="584" customWidth="1"/>
    <col min="2838" max="2838" width="14" style="584" customWidth="1"/>
    <col min="2839" max="2839" width="29.140625" style="584" customWidth="1"/>
    <col min="2840" max="2840" width="19.28515625" style="584" customWidth="1"/>
    <col min="2841" max="2841" width="21.5703125" style="584" customWidth="1"/>
    <col min="2842" max="2842" width="20.7109375" style="584" customWidth="1"/>
    <col min="2843" max="2843" width="20.85546875" style="584" customWidth="1"/>
    <col min="2844" max="3072" width="11.42578125" style="584"/>
    <col min="3073" max="3073" width="10" style="584" customWidth="1"/>
    <col min="3074" max="3074" width="14.7109375" style="584" customWidth="1"/>
    <col min="3075" max="3075" width="14.140625" style="584" customWidth="1"/>
    <col min="3076" max="3076" width="16.140625" style="584" customWidth="1"/>
    <col min="3077" max="3082" width="11.42578125" style="584"/>
    <col min="3083" max="3083" width="57.7109375" style="584" customWidth="1"/>
    <col min="3084" max="3086" width="0" style="584" hidden="1" customWidth="1"/>
    <col min="3087" max="3087" width="23.85546875" style="584" customWidth="1"/>
    <col min="3088" max="3088" width="25.7109375" style="584" customWidth="1"/>
    <col min="3089" max="3089" width="23.7109375" style="584" customWidth="1"/>
    <col min="3090" max="3090" width="20.7109375" style="584" customWidth="1"/>
    <col min="3091" max="3091" width="21.140625" style="584" bestFit="1" customWidth="1"/>
    <col min="3092" max="3092" width="0" style="584" hidden="1" customWidth="1"/>
    <col min="3093" max="3093" width="23.140625" style="584" customWidth="1"/>
    <col min="3094" max="3094" width="14" style="584" customWidth="1"/>
    <col min="3095" max="3095" width="29.140625" style="584" customWidth="1"/>
    <col min="3096" max="3096" width="19.28515625" style="584" customWidth="1"/>
    <col min="3097" max="3097" width="21.5703125" style="584" customWidth="1"/>
    <col min="3098" max="3098" width="20.7109375" style="584" customWidth="1"/>
    <col min="3099" max="3099" width="20.85546875" style="584" customWidth="1"/>
    <col min="3100" max="3328" width="11.42578125" style="584"/>
    <col min="3329" max="3329" width="10" style="584" customWidth="1"/>
    <col min="3330" max="3330" width="14.7109375" style="584" customWidth="1"/>
    <col min="3331" max="3331" width="14.140625" style="584" customWidth="1"/>
    <col min="3332" max="3332" width="16.140625" style="584" customWidth="1"/>
    <col min="3333" max="3338" width="11.42578125" style="584"/>
    <col min="3339" max="3339" width="57.7109375" style="584" customWidth="1"/>
    <col min="3340" max="3342" width="0" style="584" hidden="1" customWidth="1"/>
    <col min="3343" max="3343" width="23.85546875" style="584" customWidth="1"/>
    <col min="3344" max="3344" width="25.7109375" style="584" customWidth="1"/>
    <col min="3345" max="3345" width="23.7109375" style="584" customWidth="1"/>
    <col min="3346" max="3346" width="20.7109375" style="584" customWidth="1"/>
    <col min="3347" max="3347" width="21.140625" style="584" bestFit="1" customWidth="1"/>
    <col min="3348" max="3348" width="0" style="584" hidden="1" customWidth="1"/>
    <col min="3349" max="3349" width="23.140625" style="584" customWidth="1"/>
    <col min="3350" max="3350" width="14" style="584" customWidth="1"/>
    <col min="3351" max="3351" width="29.140625" style="584" customWidth="1"/>
    <col min="3352" max="3352" width="19.28515625" style="584" customWidth="1"/>
    <col min="3353" max="3353" width="21.5703125" style="584" customWidth="1"/>
    <col min="3354" max="3354" width="20.7109375" style="584" customWidth="1"/>
    <col min="3355" max="3355" width="20.85546875" style="584" customWidth="1"/>
    <col min="3356" max="3584" width="11.42578125" style="584"/>
    <col min="3585" max="3585" width="10" style="584" customWidth="1"/>
    <col min="3586" max="3586" width="14.7109375" style="584" customWidth="1"/>
    <col min="3587" max="3587" width="14.140625" style="584" customWidth="1"/>
    <col min="3588" max="3588" width="16.140625" style="584" customWidth="1"/>
    <col min="3589" max="3594" width="11.42578125" style="584"/>
    <col min="3595" max="3595" width="57.7109375" style="584" customWidth="1"/>
    <col min="3596" max="3598" width="0" style="584" hidden="1" customWidth="1"/>
    <col min="3599" max="3599" width="23.85546875" style="584" customWidth="1"/>
    <col min="3600" max="3600" width="25.7109375" style="584" customWidth="1"/>
    <col min="3601" max="3601" width="23.7109375" style="584" customWidth="1"/>
    <col min="3602" max="3602" width="20.7109375" style="584" customWidth="1"/>
    <col min="3603" max="3603" width="21.140625" style="584" bestFit="1" customWidth="1"/>
    <col min="3604" max="3604" width="0" style="584" hidden="1" customWidth="1"/>
    <col min="3605" max="3605" width="23.140625" style="584" customWidth="1"/>
    <col min="3606" max="3606" width="14" style="584" customWidth="1"/>
    <col min="3607" max="3607" width="29.140625" style="584" customWidth="1"/>
    <col min="3608" max="3608" width="19.28515625" style="584" customWidth="1"/>
    <col min="3609" max="3609" width="21.5703125" style="584" customWidth="1"/>
    <col min="3610" max="3610" width="20.7109375" style="584" customWidth="1"/>
    <col min="3611" max="3611" width="20.85546875" style="584" customWidth="1"/>
    <col min="3612" max="3840" width="11.42578125" style="584"/>
    <col min="3841" max="3841" width="10" style="584" customWidth="1"/>
    <col min="3842" max="3842" width="14.7109375" style="584" customWidth="1"/>
    <col min="3843" max="3843" width="14.140625" style="584" customWidth="1"/>
    <col min="3844" max="3844" width="16.140625" style="584" customWidth="1"/>
    <col min="3845" max="3850" width="11.42578125" style="584"/>
    <col min="3851" max="3851" width="57.7109375" style="584" customWidth="1"/>
    <col min="3852" max="3854" width="0" style="584" hidden="1" customWidth="1"/>
    <col min="3855" max="3855" width="23.85546875" style="584" customWidth="1"/>
    <col min="3856" max="3856" width="25.7109375" style="584" customWidth="1"/>
    <col min="3857" max="3857" width="23.7109375" style="584" customWidth="1"/>
    <col min="3858" max="3858" width="20.7109375" style="584" customWidth="1"/>
    <col min="3859" max="3859" width="21.140625" style="584" bestFit="1" customWidth="1"/>
    <col min="3860" max="3860" width="0" style="584" hidden="1" customWidth="1"/>
    <col min="3861" max="3861" width="23.140625" style="584" customWidth="1"/>
    <col min="3862" max="3862" width="14" style="584" customWidth="1"/>
    <col min="3863" max="3863" width="29.140625" style="584" customWidth="1"/>
    <col min="3864" max="3864" width="19.28515625" style="584" customWidth="1"/>
    <col min="3865" max="3865" width="21.5703125" style="584" customWidth="1"/>
    <col min="3866" max="3866" width="20.7109375" style="584" customWidth="1"/>
    <col min="3867" max="3867" width="20.85546875" style="584" customWidth="1"/>
    <col min="3868" max="4096" width="11.42578125" style="584"/>
    <col min="4097" max="4097" width="10" style="584" customWidth="1"/>
    <col min="4098" max="4098" width="14.7109375" style="584" customWidth="1"/>
    <col min="4099" max="4099" width="14.140625" style="584" customWidth="1"/>
    <col min="4100" max="4100" width="16.140625" style="584" customWidth="1"/>
    <col min="4101" max="4106" width="11.42578125" style="584"/>
    <col min="4107" max="4107" width="57.7109375" style="584" customWidth="1"/>
    <col min="4108" max="4110" width="0" style="584" hidden="1" customWidth="1"/>
    <col min="4111" max="4111" width="23.85546875" style="584" customWidth="1"/>
    <col min="4112" max="4112" width="25.7109375" style="584" customWidth="1"/>
    <col min="4113" max="4113" width="23.7109375" style="584" customWidth="1"/>
    <col min="4114" max="4114" width="20.7109375" style="584" customWidth="1"/>
    <col min="4115" max="4115" width="21.140625" style="584" bestFit="1" customWidth="1"/>
    <col min="4116" max="4116" width="0" style="584" hidden="1" customWidth="1"/>
    <col min="4117" max="4117" width="23.140625" style="584" customWidth="1"/>
    <col min="4118" max="4118" width="14" style="584" customWidth="1"/>
    <col min="4119" max="4119" width="29.140625" style="584" customWidth="1"/>
    <col min="4120" max="4120" width="19.28515625" style="584" customWidth="1"/>
    <col min="4121" max="4121" width="21.5703125" style="584" customWidth="1"/>
    <col min="4122" max="4122" width="20.7109375" style="584" customWidth="1"/>
    <col min="4123" max="4123" width="20.85546875" style="584" customWidth="1"/>
    <col min="4124" max="4352" width="11.42578125" style="584"/>
    <col min="4353" max="4353" width="10" style="584" customWidth="1"/>
    <col min="4354" max="4354" width="14.7109375" style="584" customWidth="1"/>
    <col min="4355" max="4355" width="14.140625" style="584" customWidth="1"/>
    <col min="4356" max="4356" width="16.140625" style="584" customWidth="1"/>
    <col min="4357" max="4362" width="11.42578125" style="584"/>
    <col min="4363" max="4363" width="57.7109375" style="584" customWidth="1"/>
    <col min="4364" max="4366" width="0" style="584" hidden="1" customWidth="1"/>
    <col min="4367" max="4367" width="23.85546875" style="584" customWidth="1"/>
    <col min="4368" max="4368" width="25.7109375" style="584" customWidth="1"/>
    <col min="4369" max="4369" width="23.7109375" style="584" customWidth="1"/>
    <col min="4370" max="4370" width="20.7109375" style="584" customWidth="1"/>
    <col min="4371" max="4371" width="21.140625" style="584" bestFit="1" customWidth="1"/>
    <col min="4372" max="4372" width="0" style="584" hidden="1" customWidth="1"/>
    <col min="4373" max="4373" width="23.140625" style="584" customWidth="1"/>
    <col min="4374" max="4374" width="14" style="584" customWidth="1"/>
    <col min="4375" max="4375" width="29.140625" style="584" customWidth="1"/>
    <col min="4376" max="4376" width="19.28515625" style="584" customWidth="1"/>
    <col min="4377" max="4377" width="21.5703125" style="584" customWidth="1"/>
    <col min="4378" max="4378" width="20.7109375" style="584" customWidth="1"/>
    <col min="4379" max="4379" width="20.85546875" style="584" customWidth="1"/>
    <col min="4380" max="4608" width="11.42578125" style="584"/>
    <col min="4609" max="4609" width="10" style="584" customWidth="1"/>
    <col min="4610" max="4610" width="14.7109375" style="584" customWidth="1"/>
    <col min="4611" max="4611" width="14.140625" style="584" customWidth="1"/>
    <col min="4612" max="4612" width="16.140625" style="584" customWidth="1"/>
    <col min="4613" max="4618" width="11.42578125" style="584"/>
    <col min="4619" max="4619" width="57.7109375" style="584" customWidth="1"/>
    <col min="4620" max="4622" width="0" style="584" hidden="1" customWidth="1"/>
    <col min="4623" max="4623" width="23.85546875" style="584" customWidth="1"/>
    <col min="4624" max="4624" width="25.7109375" style="584" customWidth="1"/>
    <col min="4625" max="4625" width="23.7109375" style="584" customWidth="1"/>
    <col min="4626" max="4626" width="20.7109375" style="584" customWidth="1"/>
    <col min="4627" max="4627" width="21.140625" style="584" bestFit="1" customWidth="1"/>
    <col min="4628" max="4628" width="0" style="584" hidden="1" customWidth="1"/>
    <col min="4629" max="4629" width="23.140625" style="584" customWidth="1"/>
    <col min="4630" max="4630" width="14" style="584" customWidth="1"/>
    <col min="4631" max="4631" width="29.140625" style="584" customWidth="1"/>
    <col min="4632" max="4632" width="19.28515625" style="584" customWidth="1"/>
    <col min="4633" max="4633" width="21.5703125" style="584" customWidth="1"/>
    <col min="4634" max="4634" width="20.7109375" style="584" customWidth="1"/>
    <col min="4635" max="4635" width="20.85546875" style="584" customWidth="1"/>
    <col min="4636" max="4864" width="11.42578125" style="584"/>
    <col min="4865" max="4865" width="10" style="584" customWidth="1"/>
    <col min="4866" max="4866" width="14.7109375" style="584" customWidth="1"/>
    <col min="4867" max="4867" width="14.140625" style="584" customWidth="1"/>
    <col min="4868" max="4868" width="16.140625" style="584" customWidth="1"/>
    <col min="4869" max="4874" width="11.42578125" style="584"/>
    <col min="4875" max="4875" width="57.7109375" style="584" customWidth="1"/>
    <col min="4876" max="4878" width="0" style="584" hidden="1" customWidth="1"/>
    <col min="4879" max="4879" width="23.85546875" style="584" customWidth="1"/>
    <col min="4880" max="4880" width="25.7109375" style="584" customWidth="1"/>
    <col min="4881" max="4881" width="23.7109375" style="584" customWidth="1"/>
    <col min="4882" max="4882" width="20.7109375" style="584" customWidth="1"/>
    <col min="4883" max="4883" width="21.140625" style="584" bestFit="1" customWidth="1"/>
    <col min="4884" max="4884" width="0" style="584" hidden="1" customWidth="1"/>
    <col min="4885" max="4885" width="23.140625" style="584" customWidth="1"/>
    <col min="4886" max="4886" width="14" style="584" customWidth="1"/>
    <col min="4887" max="4887" width="29.140625" style="584" customWidth="1"/>
    <col min="4888" max="4888" width="19.28515625" style="584" customWidth="1"/>
    <col min="4889" max="4889" width="21.5703125" style="584" customWidth="1"/>
    <col min="4890" max="4890" width="20.7109375" style="584" customWidth="1"/>
    <col min="4891" max="4891" width="20.85546875" style="584" customWidth="1"/>
    <col min="4892" max="5120" width="11.42578125" style="584"/>
    <col min="5121" max="5121" width="10" style="584" customWidth="1"/>
    <col min="5122" max="5122" width="14.7109375" style="584" customWidth="1"/>
    <col min="5123" max="5123" width="14.140625" style="584" customWidth="1"/>
    <col min="5124" max="5124" width="16.140625" style="584" customWidth="1"/>
    <col min="5125" max="5130" width="11.42578125" style="584"/>
    <col min="5131" max="5131" width="57.7109375" style="584" customWidth="1"/>
    <col min="5132" max="5134" width="0" style="584" hidden="1" customWidth="1"/>
    <col min="5135" max="5135" width="23.85546875" style="584" customWidth="1"/>
    <col min="5136" max="5136" width="25.7109375" style="584" customWidth="1"/>
    <col min="5137" max="5137" width="23.7109375" style="584" customWidth="1"/>
    <col min="5138" max="5138" width="20.7109375" style="584" customWidth="1"/>
    <col min="5139" max="5139" width="21.140625" style="584" bestFit="1" customWidth="1"/>
    <col min="5140" max="5140" width="0" style="584" hidden="1" customWidth="1"/>
    <col min="5141" max="5141" width="23.140625" style="584" customWidth="1"/>
    <col min="5142" max="5142" width="14" style="584" customWidth="1"/>
    <col min="5143" max="5143" width="29.140625" style="584" customWidth="1"/>
    <col min="5144" max="5144" width="19.28515625" style="584" customWidth="1"/>
    <col min="5145" max="5145" width="21.5703125" style="584" customWidth="1"/>
    <col min="5146" max="5146" width="20.7109375" style="584" customWidth="1"/>
    <col min="5147" max="5147" width="20.85546875" style="584" customWidth="1"/>
    <col min="5148" max="5376" width="11.42578125" style="584"/>
    <col min="5377" max="5377" width="10" style="584" customWidth="1"/>
    <col min="5378" max="5378" width="14.7109375" style="584" customWidth="1"/>
    <col min="5379" max="5379" width="14.140625" style="584" customWidth="1"/>
    <col min="5380" max="5380" width="16.140625" style="584" customWidth="1"/>
    <col min="5381" max="5386" width="11.42578125" style="584"/>
    <col min="5387" max="5387" width="57.7109375" style="584" customWidth="1"/>
    <col min="5388" max="5390" width="0" style="584" hidden="1" customWidth="1"/>
    <col min="5391" max="5391" width="23.85546875" style="584" customWidth="1"/>
    <col min="5392" max="5392" width="25.7109375" style="584" customWidth="1"/>
    <col min="5393" max="5393" width="23.7109375" style="584" customWidth="1"/>
    <col min="5394" max="5394" width="20.7109375" style="584" customWidth="1"/>
    <col min="5395" max="5395" width="21.140625" style="584" bestFit="1" customWidth="1"/>
    <col min="5396" max="5396" width="0" style="584" hidden="1" customWidth="1"/>
    <col min="5397" max="5397" width="23.140625" style="584" customWidth="1"/>
    <col min="5398" max="5398" width="14" style="584" customWidth="1"/>
    <col min="5399" max="5399" width="29.140625" style="584" customWidth="1"/>
    <col min="5400" max="5400" width="19.28515625" style="584" customWidth="1"/>
    <col min="5401" max="5401" width="21.5703125" style="584" customWidth="1"/>
    <col min="5402" max="5402" width="20.7109375" style="584" customWidth="1"/>
    <col min="5403" max="5403" width="20.85546875" style="584" customWidth="1"/>
    <col min="5404" max="5632" width="11.42578125" style="584"/>
    <col min="5633" max="5633" width="10" style="584" customWidth="1"/>
    <col min="5634" max="5634" width="14.7109375" style="584" customWidth="1"/>
    <col min="5635" max="5635" width="14.140625" style="584" customWidth="1"/>
    <col min="5636" max="5636" width="16.140625" style="584" customWidth="1"/>
    <col min="5637" max="5642" width="11.42578125" style="584"/>
    <col min="5643" max="5643" width="57.7109375" style="584" customWidth="1"/>
    <col min="5644" max="5646" width="0" style="584" hidden="1" customWidth="1"/>
    <col min="5647" max="5647" width="23.85546875" style="584" customWidth="1"/>
    <col min="5648" max="5648" width="25.7109375" style="584" customWidth="1"/>
    <col min="5649" max="5649" width="23.7109375" style="584" customWidth="1"/>
    <col min="5650" max="5650" width="20.7109375" style="584" customWidth="1"/>
    <col min="5651" max="5651" width="21.140625" style="584" bestFit="1" customWidth="1"/>
    <col min="5652" max="5652" width="0" style="584" hidden="1" customWidth="1"/>
    <col min="5653" max="5653" width="23.140625" style="584" customWidth="1"/>
    <col min="5654" max="5654" width="14" style="584" customWidth="1"/>
    <col min="5655" max="5655" width="29.140625" style="584" customWidth="1"/>
    <col min="5656" max="5656" width="19.28515625" style="584" customWidth="1"/>
    <col min="5657" max="5657" width="21.5703125" style="584" customWidth="1"/>
    <col min="5658" max="5658" width="20.7109375" style="584" customWidth="1"/>
    <col min="5659" max="5659" width="20.85546875" style="584" customWidth="1"/>
    <col min="5660" max="5888" width="11.42578125" style="584"/>
    <col min="5889" max="5889" width="10" style="584" customWidth="1"/>
    <col min="5890" max="5890" width="14.7109375" style="584" customWidth="1"/>
    <col min="5891" max="5891" width="14.140625" style="584" customWidth="1"/>
    <col min="5892" max="5892" width="16.140625" style="584" customWidth="1"/>
    <col min="5893" max="5898" width="11.42578125" style="584"/>
    <col min="5899" max="5899" width="57.7109375" style="584" customWidth="1"/>
    <col min="5900" max="5902" width="0" style="584" hidden="1" customWidth="1"/>
    <col min="5903" max="5903" width="23.85546875" style="584" customWidth="1"/>
    <col min="5904" max="5904" width="25.7109375" style="584" customWidth="1"/>
    <col min="5905" max="5905" width="23.7109375" style="584" customWidth="1"/>
    <col min="5906" max="5906" width="20.7109375" style="584" customWidth="1"/>
    <col min="5907" max="5907" width="21.140625" style="584" bestFit="1" customWidth="1"/>
    <col min="5908" max="5908" width="0" style="584" hidden="1" customWidth="1"/>
    <col min="5909" max="5909" width="23.140625" style="584" customWidth="1"/>
    <col min="5910" max="5910" width="14" style="584" customWidth="1"/>
    <col min="5911" max="5911" width="29.140625" style="584" customWidth="1"/>
    <col min="5912" max="5912" width="19.28515625" style="584" customWidth="1"/>
    <col min="5913" max="5913" width="21.5703125" style="584" customWidth="1"/>
    <col min="5914" max="5914" width="20.7109375" style="584" customWidth="1"/>
    <col min="5915" max="5915" width="20.85546875" style="584" customWidth="1"/>
    <col min="5916" max="6144" width="11.42578125" style="584"/>
    <col min="6145" max="6145" width="10" style="584" customWidth="1"/>
    <col min="6146" max="6146" width="14.7109375" style="584" customWidth="1"/>
    <col min="6147" max="6147" width="14.140625" style="584" customWidth="1"/>
    <col min="6148" max="6148" width="16.140625" style="584" customWidth="1"/>
    <col min="6149" max="6154" width="11.42578125" style="584"/>
    <col min="6155" max="6155" width="57.7109375" style="584" customWidth="1"/>
    <col min="6156" max="6158" width="0" style="584" hidden="1" customWidth="1"/>
    <col min="6159" max="6159" width="23.85546875" style="584" customWidth="1"/>
    <col min="6160" max="6160" width="25.7109375" style="584" customWidth="1"/>
    <col min="6161" max="6161" width="23.7109375" style="584" customWidth="1"/>
    <col min="6162" max="6162" width="20.7109375" style="584" customWidth="1"/>
    <col min="6163" max="6163" width="21.140625" style="584" bestFit="1" customWidth="1"/>
    <col min="6164" max="6164" width="0" style="584" hidden="1" customWidth="1"/>
    <col min="6165" max="6165" width="23.140625" style="584" customWidth="1"/>
    <col min="6166" max="6166" width="14" style="584" customWidth="1"/>
    <col min="6167" max="6167" width="29.140625" style="584" customWidth="1"/>
    <col min="6168" max="6168" width="19.28515625" style="584" customWidth="1"/>
    <col min="6169" max="6169" width="21.5703125" style="584" customWidth="1"/>
    <col min="6170" max="6170" width="20.7109375" style="584" customWidth="1"/>
    <col min="6171" max="6171" width="20.85546875" style="584" customWidth="1"/>
    <col min="6172" max="6400" width="11.42578125" style="584"/>
    <col min="6401" max="6401" width="10" style="584" customWidth="1"/>
    <col min="6402" max="6402" width="14.7109375" style="584" customWidth="1"/>
    <col min="6403" max="6403" width="14.140625" style="584" customWidth="1"/>
    <col min="6404" max="6404" width="16.140625" style="584" customWidth="1"/>
    <col min="6405" max="6410" width="11.42578125" style="584"/>
    <col min="6411" max="6411" width="57.7109375" style="584" customWidth="1"/>
    <col min="6412" max="6414" width="0" style="584" hidden="1" customWidth="1"/>
    <col min="6415" max="6415" width="23.85546875" style="584" customWidth="1"/>
    <col min="6416" max="6416" width="25.7109375" style="584" customWidth="1"/>
    <col min="6417" max="6417" width="23.7109375" style="584" customWidth="1"/>
    <col min="6418" max="6418" width="20.7109375" style="584" customWidth="1"/>
    <col min="6419" max="6419" width="21.140625" style="584" bestFit="1" customWidth="1"/>
    <col min="6420" max="6420" width="0" style="584" hidden="1" customWidth="1"/>
    <col min="6421" max="6421" width="23.140625" style="584" customWidth="1"/>
    <col min="6422" max="6422" width="14" style="584" customWidth="1"/>
    <col min="6423" max="6423" width="29.140625" style="584" customWidth="1"/>
    <col min="6424" max="6424" width="19.28515625" style="584" customWidth="1"/>
    <col min="6425" max="6425" width="21.5703125" style="584" customWidth="1"/>
    <col min="6426" max="6426" width="20.7109375" style="584" customWidth="1"/>
    <col min="6427" max="6427" width="20.85546875" style="584" customWidth="1"/>
    <col min="6428" max="6656" width="11.42578125" style="584"/>
    <col min="6657" max="6657" width="10" style="584" customWidth="1"/>
    <col min="6658" max="6658" width="14.7109375" style="584" customWidth="1"/>
    <col min="6659" max="6659" width="14.140625" style="584" customWidth="1"/>
    <col min="6660" max="6660" width="16.140625" style="584" customWidth="1"/>
    <col min="6661" max="6666" width="11.42578125" style="584"/>
    <col min="6667" max="6667" width="57.7109375" style="584" customWidth="1"/>
    <col min="6668" max="6670" width="0" style="584" hidden="1" customWidth="1"/>
    <col min="6671" max="6671" width="23.85546875" style="584" customWidth="1"/>
    <col min="6672" max="6672" width="25.7109375" style="584" customWidth="1"/>
    <col min="6673" max="6673" width="23.7109375" style="584" customWidth="1"/>
    <col min="6674" max="6674" width="20.7109375" style="584" customWidth="1"/>
    <col min="6675" max="6675" width="21.140625" style="584" bestFit="1" customWidth="1"/>
    <col min="6676" max="6676" width="0" style="584" hidden="1" customWidth="1"/>
    <col min="6677" max="6677" width="23.140625" style="584" customWidth="1"/>
    <col min="6678" max="6678" width="14" style="584" customWidth="1"/>
    <col min="6679" max="6679" width="29.140625" style="584" customWidth="1"/>
    <col min="6680" max="6680" width="19.28515625" style="584" customWidth="1"/>
    <col min="6681" max="6681" width="21.5703125" style="584" customWidth="1"/>
    <col min="6682" max="6682" width="20.7109375" style="584" customWidth="1"/>
    <col min="6683" max="6683" width="20.85546875" style="584" customWidth="1"/>
    <col min="6684" max="6912" width="11.42578125" style="584"/>
    <col min="6913" max="6913" width="10" style="584" customWidth="1"/>
    <col min="6914" max="6914" width="14.7109375" style="584" customWidth="1"/>
    <col min="6915" max="6915" width="14.140625" style="584" customWidth="1"/>
    <col min="6916" max="6916" width="16.140625" style="584" customWidth="1"/>
    <col min="6917" max="6922" width="11.42578125" style="584"/>
    <col min="6923" max="6923" width="57.7109375" style="584" customWidth="1"/>
    <col min="6924" max="6926" width="0" style="584" hidden="1" customWidth="1"/>
    <col min="6927" max="6927" width="23.85546875" style="584" customWidth="1"/>
    <col min="6928" max="6928" width="25.7109375" style="584" customWidth="1"/>
    <col min="6929" max="6929" width="23.7109375" style="584" customWidth="1"/>
    <col min="6930" max="6930" width="20.7109375" style="584" customWidth="1"/>
    <col min="6931" max="6931" width="21.140625" style="584" bestFit="1" customWidth="1"/>
    <col min="6932" max="6932" width="0" style="584" hidden="1" customWidth="1"/>
    <col min="6933" max="6933" width="23.140625" style="584" customWidth="1"/>
    <col min="6934" max="6934" width="14" style="584" customWidth="1"/>
    <col min="6935" max="6935" width="29.140625" style="584" customWidth="1"/>
    <col min="6936" max="6936" width="19.28515625" style="584" customWidth="1"/>
    <col min="6937" max="6937" width="21.5703125" style="584" customWidth="1"/>
    <col min="6938" max="6938" width="20.7109375" style="584" customWidth="1"/>
    <col min="6939" max="6939" width="20.85546875" style="584" customWidth="1"/>
    <col min="6940" max="7168" width="11.42578125" style="584"/>
    <col min="7169" max="7169" width="10" style="584" customWidth="1"/>
    <col min="7170" max="7170" width="14.7109375" style="584" customWidth="1"/>
    <col min="7171" max="7171" width="14.140625" style="584" customWidth="1"/>
    <col min="7172" max="7172" width="16.140625" style="584" customWidth="1"/>
    <col min="7173" max="7178" width="11.42578125" style="584"/>
    <col min="7179" max="7179" width="57.7109375" style="584" customWidth="1"/>
    <col min="7180" max="7182" width="0" style="584" hidden="1" customWidth="1"/>
    <col min="7183" max="7183" width="23.85546875" style="584" customWidth="1"/>
    <col min="7184" max="7184" width="25.7109375" style="584" customWidth="1"/>
    <col min="7185" max="7185" width="23.7109375" style="584" customWidth="1"/>
    <col min="7186" max="7186" width="20.7109375" style="584" customWidth="1"/>
    <col min="7187" max="7187" width="21.140625" style="584" bestFit="1" customWidth="1"/>
    <col min="7188" max="7188" width="0" style="584" hidden="1" customWidth="1"/>
    <col min="7189" max="7189" width="23.140625" style="584" customWidth="1"/>
    <col min="7190" max="7190" width="14" style="584" customWidth="1"/>
    <col min="7191" max="7191" width="29.140625" style="584" customWidth="1"/>
    <col min="7192" max="7192" width="19.28515625" style="584" customWidth="1"/>
    <col min="7193" max="7193" width="21.5703125" style="584" customWidth="1"/>
    <col min="7194" max="7194" width="20.7109375" style="584" customWidth="1"/>
    <col min="7195" max="7195" width="20.85546875" style="584" customWidth="1"/>
    <col min="7196" max="7424" width="11.42578125" style="584"/>
    <col min="7425" max="7425" width="10" style="584" customWidth="1"/>
    <col min="7426" max="7426" width="14.7109375" style="584" customWidth="1"/>
    <col min="7427" max="7427" width="14.140625" style="584" customWidth="1"/>
    <col min="7428" max="7428" width="16.140625" style="584" customWidth="1"/>
    <col min="7429" max="7434" width="11.42578125" style="584"/>
    <col min="7435" max="7435" width="57.7109375" style="584" customWidth="1"/>
    <col min="7436" max="7438" width="0" style="584" hidden="1" customWidth="1"/>
    <col min="7439" max="7439" width="23.85546875" style="584" customWidth="1"/>
    <col min="7440" max="7440" width="25.7109375" style="584" customWidth="1"/>
    <col min="7441" max="7441" width="23.7109375" style="584" customWidth="1"/>
    <col min="7442" max="7442" width="20.7109375" style="584" customWidth="1"/>
    <col min="7443" max="7443" width="21.140625" style="584" bestFit="1" customWidth="1"/>
    <col min="7444" max="7444" width="0" style="584" hidden="1" customWidth="1"/>
    <col min="7445" max="7445" width="23.140625" style="584" customWidth="1"/>
    <col min="7446" max="7446" width="14" style="584" customWidth="1"/>
    <col min="7447" max="7447" width="29.140625" style="584" customWidth="1"/>
    <col min="7448" max="7448" width="19.28515625" style="584" customWidth="1"/>
    <col min="7449" max="7449" width="21.5703125" style="584" customWidth="1"/>
    <col min="7450" max="7450" width="20.7109375" style="584" customWidth="1"/>
    <col min="7451" max="7451" width="20.85546875" style="584" customWidth="1"/>
    <col min="7452" max="7680" width="11.42578125" style="584"/>
    <col min="7681" max="7681" width="10" style="584" customWidth="1"/>
    <col min="7682" max="7682" width="14.7109375" style="584" customWidth="1"/>
    <col min="7683" max="7683" width="14.140625" style="584" customWidth="1"/>
    <col min="7684" max="7684" width="16.140625" style="584" customWidth="1"/>
    <col min="7685" max="7690" width="11.42578125" style="584"/>
    <col min="7691" max="7691" width="57.7109375" style="584" customWidth="1"/>
    <col min="7692" max="7694" width="0" style="584" hidden="1" customWidth="1"/>
    <col min="7695" max="7695" width="23.85546875" style="584" customWidth="1"/>
    <col min="7696" max="7696" width="25.7109375" style="584" customWidth="1"/>
    <col min="7697" max="7697" width="23.7109375" style="584" customWidth="1"/>
    <col min="7698" max="7698" width="20.7109375" style="584" customWidth="1"/>
    <col min="7699" max="7699" width="21.140625" style="584" bestFit="1" customWidth="1"/>
    <col min="7700" max="7700" width="0" style="584" hidden="1" customWidth="1"/>
    <col min="7701" max="7701" width="23.140625" style="584" customWidth="1"/>
    <col min="7702" max="7702" width="14" style="584" customWidth="1"/>
    <col min="7703" max="7703" width="29.140625" style="584" customWidth="1"/>
    <col min="7704" max="7704" width="19.28515625" style="584" customWidth="1"/>
    <col min="7705" max="7705" width="21.5703125" style="584" customWidth="1"/>
    <col min="7706" max="7706" width="20.7109375" style="584" customWidth="1"/>
    <col min="7707" max="7707" width="20.85546875" style="584" customWidth="1"/>
    <col min="7708" max="7936" width="11.42578125" style="584"/>
    <col min="7937" max="7937" width="10" style="584" customWidth="1"/>
    <col min="7938" max="7938" width="14.7109375" style="584" customWidth="1"/>
    <col min="7939" max="7939" width="14.140625" style="584" customWidth="1"/>
    <col min="7940" max="7940" width="16.140625" style="584" customWidth="1"/>
    <col min="7941" max="7946" width="11.42578125" style="584"/>
    <col min="7947" max="7947" width="57.7109375" style="584" customWidth="1"/>
    <col min="7948" max="7950" width="0" style="584" hidden="1" customWidth="1"/>
    <col min="7951" max="7951" width="23.85546875" style="584" customWidth="1"/>
    <col min="7952" max="7952" width="25.7109375" style="584" customWidth="1"/>
    <col min="7953" max="7953" width="23.7109375" style="584" customWidth="1"/>
    <col min="7954" max="7954" width="20.7109375" style="584" customWidth="1"/>
    <col min="7955" max="7955" width="21.140625" style="584" bestFit="1" customWidth="1"/>
    <col min="7956" max="7956" width="0" style="584" hidden="1" customWidth="1"/>
    <col min="7957" max="7957" width="23.140625" style="584" customWidth="1"/>
    <col min="7958" max="7958" width="14" style="584" customWidth="1"/>
    <col min="7959" max="7959" width="29.140625" style="584" customWidth="1"/>
    <col min="7960" max="7960" width="19.28515625" style="584" customWidth="1"/>
    <col min="7961" max="7961" width="21.5703125" style="584" customWidth="1"/>
    <col min="7962" max="7962" width="20.7109375" style="584" customWidth="1"/>
    <col min="7963" max="7963" width="20.85546875" style="584" customWidth="1"/>
    <col min="7964" max="8192" width="11.42578125" style="584"/>
    <col min="8193" max="8193" width="10" style="584" customWidth="1"/>
    <col min="8194" max="8194" width="14.7109375" style="584" customWidth="1"/>
    <col min="8195" max="8195" width="14.140625" style="584" customWidth="1"/>
    <col min="8196" max="8196" width="16.140625" style="584" customWidth="1"/>
    <col min="8197" max="8202" width="11.42578125" style="584"/>
    <col min="8203" max="8203" width="57.7109375" style="584" customWidth="1"/>
    <col min="8204" max="8206" width="0" style="584" hidden="1" customWidth="1"/>
    <col min="8207" max="8207" width="23.85546875" style="584" customWidth="1"/>
    <col min="8208" max="8208" width="25.7109375" style="584" customWidth="1"/>
    <col min="8209" max="8209" width="23.7109375" style="584" customWidth="1"/>
    <col min="8210" max="8210" width="20.7109375" style="584" customWidth="1"/>
    <col min="8211" max="8211" width="21.140625" style="584" bestFit="1" customWidth="1"/>
    <col min="8212" max="8212" width="0" style="584" hidden="1" customWidth="1"/>
    <col min="8213" max="8213" width="23.140625" style="584" customWidth="1"/>
    <col min="8214" max="8214" width="14" style="584" customWidth="1"/>
    <col min="8215" max="8215" width="29.140625" style="584" customWidth="1"/>
    <col min="8216" max="8216" width="19.28515625" style="584" customWidth="1"/>
    <col min="8217" max="8217" width="21.5703125" style="584" customWidth="1"/>
    <col min="8218" max="8218" width="20.7109375" style="584" customWidth="1"/>
    <col min="8219" max="8219" width="20.85546875" style="584" customWidth="1"/>
    <col min="8220" max="8448" width="11.42578125" style="584"/>
    <col min="8449" max="8449" width="10" style="584" customWidth="1"/>
    <col min="8450" max="8450" width="14.7109375" style="584" customWidth="1"/>
    <col min="8451" max="8451" width="14.140625" style="584" customWidth="1"/>
    <col min="8452" max="8452" width="16.140625" style="584" customWidth="1"/>
    <col min="8453" max="8458" width="11.42578125" style="584"/>
    <col min="8459" max="8459" width="57.7109375" style="584" customWidth="1"/>
    <col min="8460" max="8462" width="0" style="584" hidden="1" customWidth="1"/>
    <col min="8463" max="8463" width="23.85546875" style="584" customWidth="1"/>
    <col min="8464" max="8464" width="25.7109375" style="584" customWidth="1"/>
    <col min="8465" max="8465" width="23.7109375" style="584" customWidth="1"/>
    <col min="8466" max="8466" width="20.7109375" style="584" customWidth="1"/>
    <col min="8467" max="8467" width="21.140625" style="584" bestFit="1" customWidth="1"/>
    <col min="8468" max="8468" width="0" style="584" hidden="1" customWidth="1"/>
    <col min="8469" max="8469" width="23.140625" style="584" customWidth="1"/>
    <col min="8470" max="8470" width="14" style="584" customWidth="1"/>
    <col min="8471" max="8471" width="29.140625" style="584" customWidth="1"/>
    <col min="8472" max="8472" width="19.28515625" style="584" customWidth="1"/>
    <col min="8473" max="8473" width="21.5703125" style="584" customWidth="1"/>
    <col min="8474" max="8474" width="20.7109375" style="584" customWidth="1"/>
    <col min="8475" max="8475" width="20.85546875" style="584" customWidth="1"/>
    <col min="8476" max="8704" width="11.42578125" style="584"/>
    <col min="8705" max="8705" width="10" style="584" customWidth="1"/>
    <col min="8706" max="8706" width="14.7109375" style="584" customWidth="1"/>
    <col min="8707" max="8707" width="14.140625" style="584" customWidth="1"/>
    <col min="8708" max="8708" width="16.140625" style="584" customWidth="1"/>
    <col min="8709" max="8714" width="11.42578125" style="584"/>
    <col min="8715" max="8715" width="57.7109375" style="584" customWidth="1"/>
    <col min="8716" max="8718" width="0" style="584" hidden="1" customWidth="1"/>
    <col min="8719" max="8719" width="23.85546875" style="584" customWidth="1"/>
    <col min="8720" max="8720" width="25.7109375" style="584" customWidth="1"/>
    <col min="8721" max="8721" width="23.7109375" style="584" customWidth="1"/>
    <col min="8722" max="8722" width="20.7109375" style="584" customWidth="1"/>
    <col min="8723" max="8723" width="21.140625" style="584" bestFit="1" customWidth="1"/>
    <col min="8724" max="8724" width="0" style="584" hidden="1" customWidth="1"/>
    <col min="8725" max="8725" width="23.140625" style="584" customWidth="1"/>
    <col min="8726" max="8726" width="14" style="584" customWidth="1"/>
    <col min="8727" max="8727" width="29.140625" style="584" customWidth="1"/>
    <col min="8728" max="8728" width="19.28515625" style="584" customWidth="1"/>
    <col min="8729" max="8729" width="21.5703125" style="584" customWidth="1"/>
    <col min="8730" max="8730" width="20.7109375" style="584" customWidth="1"/>
    <col min="8731" max="8731" width="20.85546875" style="584" customWidth="1"/>
    <col min="8732" max="8960" width="11.42578125" style="584"/>
    <col min="8961" max="8961" width="10" style="584" customWidth="1"/>
    <col min="8962" max="8962" width="14.7109375" style="584" customWidth="1"/>
    <col min="8963" max="8963" width="14.140625" style="584" customWidth="1"/>
    <col min="8964" max="8964" width="16.140625" style="584" customWidth="1"/>
    <col min="8965" max="8970" width="11.42578125" style="584"/>
    <col min="8971" max="8971" width="57.7109375" style="584" customWidth="1"/>
    <col min="8972" max="8974" width="0" style="584" hidden="1" customWidth="1"/>
    <col min="8975" max="8975" width="23.85546875" style="584" customWidth="1"/>
    <col min="8976" max="8976" width="25.7109375" style="584" customWidth="1"/>
    <col min="8977" max="8977" width="23.7109375" style="584" customWidth="1"/>
    <col min="8978" max="8978" width="20.7109375" style="584" customWidth="1"/>
    <col min="8979" max="8979" width="21.140625" style="584" bestFit="1" customWidth="1"/>
    <col min="8980" max="8980" width="0" style="584" hidden="1" customWidth="1"/>
    <col min="8981" max="8981" width="23.140625" style="584" customWidth="1"/>
    <col min="8982" max="8982" width="14" style="584" customWidth="1"/>
    <col min="8983" max="8983" width="29.140625" style="584" customWidth="1"/>
    <col min="8984" max="8984" width="19.28515625" style="584" customWidth="1"/>
    <col min="8985" max="8985" width="21.5703125" style="584" customWidth="1"/>
    <col min="8986" max="8986" width="20.7109375" style="584" customWidth="1"/>
    <col min="8987" max="8987" width="20.85546875" style="584" customWidth="1"/>
    <col min="8988" max="9216" width="11.42578125" style="584"/>
    <col min="9217" max="9217" width="10" style="584" customWidth="1"/>
    <col min="9218" max="9218" width="14.7109375" style="584" customWidth="1"/>
    <col min="9219" max="9219" width="14.140625" style="584" customWidth="1"/>
    <col min="9220" max="9220" width="16.140625" style="584" customWidth="1"/>
    <col min="9221" max="9226" width="11.42578125" style="584"/>
    <col min="9227" max="9227" width="57.7109375" style="584" customWidth="1"/>
    <col min="9228" max="9230" width="0" style="584" hidden="1" customWidth="1"/>
    <col min="9231" max="9231" width="23.85546875" style="584" customWidth="1"/>
    <col min="9232" max="9232" width="25.7109375" style="584" customWidth="1"/>
    <col min="9233" max="9233" width="23.7109375" style="584" customWidth="1"/>
    <col min="9234" max="9234" width="20.7109375" style="584" customWidth="1"/>
    <col min="9235" max="9235" width="21.140625" style="584" bestFit="1" customWidth="1"/>
    <col min="9236" max="9236" width="0" style="584" hidden="1" customWidth="1"/>
    <col min="9237" max="9237" width="23.140625" style="584" customWidth="1"/>
    <col min="9238" max="9238" width="14" style="584" customWidth="1"/>
    <col min="9239" max="9239" width="29.140625" style="584" customWidth="1"/>
    <col min="9240" max="9240" width="19.28515625" style="584" customWidth="1"/>
    <col min="9241" max="9241" width="21.5703125" style="584" customWidth="1"/>
    <col min="9242" max="9242" width="20.7109375" style="584" customWidth="1"/>
    <col min="9243" max="9243" width="20.85546875" style="584" customWidth="1"/>
    <col min="9244" max="9472" width="11.42578125" style="584"/>
    <col min="9473" max="9473" width="10" style="584" customWidth="1"/>
    <col min="9474" max="9474" width="14.7109375" style="584" customWidth="1"/>
    <col min="9475" max="9475" width="14.140625" style="584" customWidth="1"/>
    <col min="9476" max="9476" width="16.140625" style="584" customWidth="1"/>
    <col min="9477" max="9482" width="11.42578125" style="584"/>
    <col min="9483" max="9483" width="57.7109375" style="584" customWidth="1"/>
    <col min="9484" max="9486" width="0" style="584" hidden="1" customWidth="1"/>
    <col min="9487" max="9487" width="23.85546875" style="584" customWidth="1"/>
    <col min="9488" max="9488" width="25.7109375" style="584" customWidth="1"/>
    <col min="9489" max="9489" width="23.7109375" style="584" customWidth="1"/>
    <col min="9490" max="9490" width="20.7109375" style="584" customWidth="1"/>
    <col min="9491" max="9491" width="21.140625" style="584" bestFit="1" customWidth="1"/>
    <col min="9492" max="9492" width="0" style="584" hidden="1" customWidth="1"/>
    <col min="9493" max="9493" width="23.140625" style="584" customWidth="1"/>
    <col min="9494" max="9494" width="14" style="584" customWidth="1"/>
    <col min="9495" max="9495" width="29.140625" style="584" customWidth="1"/>
    <col min="9496" max="9496" width="19.28515625" style="584" customWidth="1"/>
    <col min="9497" max="9497" width="21.5703125" style="584" customWidth="1"/>
    <col min="9498" max="9498" width="20.7109375" style="584" customWidth="1"/>
    <col min="9499" max="9499" width="20.85546875" style="584" customWidth="1"/>
    <col min="9500" max="9728" width="11.42578125" style="584"/>
    <col min="9729" max="9729" width="10" style="584" customWidth="1"/>
    <col min="9730" max="9730" width="14.7109375" style="584" customWidth="1"/>
    <col min="9731" max="9731" width="14.140625" style="584" customWidth="1"/>
    <col min="9732" max="9732" width="16.140625" style="584" customWidth="1"/>
    <col min="9733" max="9738" width="11.42578125" style="584"/>
    <col min="9739" max="9739" width="57.7109375" style="584" customWidth="1"/>
    <col min="9740" max="9742" width="0" style="584" hidden="1" customWidth="1"/>
    <col min="9743" max="9743" width="23.85546875" style="584" customWidth="1"/>
    <col min="9744" max="9744" width="25.7109375" style="584" customWidth="1"/>
    <col min="9745" max="9745" width="23.7109375" style="584" customWidth="1"/>
    <col min="9746" max="9746" width="20.7109375" style="584" customWidth="1"/>
    <col min="9747" max="9747" width="21.140625" style="584" bestFit="1" customWidth="1"/>
    <col min="9748" max="9748" width="0" style="584" hidden="1" customWidth="1"/>
    <col min="9749" max="9749" width="23.140625" style="584" customWidth="1"/>
    <col min="9750" max="9750" width="14" style="584" customWidth="1"/>
    <col min="9751" max="9751" width="29.140625" style="584" customWidth="1"/>
    <col min="9752" max="9752" width="19.28515625" style="584" customWidth="1"/>
    <col min="9753" max="9753" width="21.5703125" style="584" customWidth="1"/>
    <col min="9754" max="9754" width="20.7109375" style="584" customWidth="1"/>
    <col min="9755" max="9755" width="20.85546875" style="584" customWidth="1"/>
    <col min="9756" max="9984" width="11.42578125" style="584"/>
    <col min="9985" max="9985" width="10" style="584" customWidth="1"/>
    <col min="9986" max="9986" width="14.7109375" style="584" customWidth="1"/>
    <col min="9987" max="9987" width="14.140625" style="584" customWidth="1"/>
    <col min="9988" max="9988" width="16.140625" style="584" customWidth="1"/>
    <col min="9989" max="9994" width="11.42578125" style="584"/>
    <col min="9995" max="9995" width="57.7109375" style="584" customWidth="1"/>
    <col min="9996" max="9998" width="0" style="584" hidden="1" customWidth="1"/>
    <col min="9999" max="9999" width="23.85546875" style="584" customWidth="1"/>
    <col min="10000" max="10000" width="25.7109375" style="584" customWidth="1"/>
    <col min="10001" max="10001" width="23.7109375" style="584" customWidth="1"/>
    <col min="10002" max="10002" width="20.7109375" style="584" customWidth="1"/>
    <col min="10003" max="10003" width="21.140625" style="584" bestFit="1" customWidth="1"/>
    <col min="10004" max="10004" width="0" style="584" hidden="1" customWidth="1"/>
    <col min="10005" max="10005" width="23.140625" style="584" customWidth="1"/>
    <col min="10006" max="10006" width="14" style="584" customWidth="1"/>
    <col min="10007" max="10007" width="29.140625" style="584" customWidth="1"/>
    <col min="10008" max="10008" width="19.28515625" style="584" customWidth="1"/>
    <col min="10009" max="10009" width="21.5703125" style="584" customWidth="1"/>
    <col min="10010" max="10010" width="20.7109375" style="584" customWidth="1"/>
    <col min="10011" max="10011" width="20.85546875" style="584" customWidth="1"/>
    <col min="10012" max="10240" width="11.42578125" style="584"/>
    <col min="10241" max="10241" width="10" style="584" customWidth="1"/>
    <col min="10242" max="10242" width="14.7109375" style="584" customWidth="1"/>
    <col min="10243" max="10243" width="14.140625" style="584" customWidth="1"/>
    <col min="10244" max="10244" width="16.140625" style="584" customWidth="1"/>
    <col min="10245" max="10250" width="11.42578125" style="584"/>
    <col min="10251" max="10251" width="57.7109375" style="584" customWidth="1"/>
    <col min="10252" max="10254" width="0" style="584" hidden="1" customWidth="1"/>
    <col min="10255" max="10255" width="23.85546875" style="584" customWidth="1"/>
    <col min="10256" max="10256" width="25.7109375" style="584" customWidth="1"/>
    <col min="10257" max="10257" width="23.7109375" style="584" customWidth="1"/>
    <col min="10258" max="10258" width="20.7109375" style="584" customWidth="1"/>
    <col min="10259" max="10259" width="21.140625" style="584" bestFit="1" customWidth="1"/>
    <col min="10260" max="10260" width="0" style="584" hidden="1" customWidth="1"/>
    <col min="10261" max="10261" width="23.140625" style="584" customWidth="1"/>
    <col min="10262" max="10262" width="14" style="584" customWidth="1"/>
    <col min="10263" max="10263" width="29.140625" style="584" customWidth="1"/>
    <col min="10264" max="10264" width="19.28515625" style="584" customWidth="1"/>
    <col min="10265" max="10265" width="21.5703125" style="584" customWidth="1"/>
    <col min="10266" max="10266" width="20.7109375" style="584" customWidth="1"/>
    <col min="10267" max="10267" width="20.85546875" style="584" customWidth="1"/>
    <col min="10268" max="10496" width="11.42578125" style="584"/>
    <col min="10497" max="10497" width="10" style="584" customWidth="1"/>
    <col min="10498" max="10498" width="14.7109375" style="584" customWidth="1"/>
    <col min="10499" max="10499" width="14.140625" style="584" customWidth="1"/>
    <col min="10500" max="10500" width="16.140625" style="584" customWidth="1"/>
    <col min="10501" max="10506" width="11.42578125" style="584"/>
    <col min="10507" max="10507" width="57.7109375" style="584" customWidth="1"/>
    <col min="10508" max="10510" width="0" style="584" hidden="1" customWidth="1"/>
    <col min="10511" max="10511" width="23.85546875" style="584" customWidth="1"/>
    <col min="10512" max="10512" width="25.7109375" style="584" customWidth="1"/>
    <col min="10513" max="10513" width="23.7109375" style="584" customWidth="1"/>
    <col min="10514" max="10514" width="20.7109375" style="584" customWidth="1"/>
    <col min="10515" max="10515" width="21.140625" style="584" bestFit="1" customWidth="1"/>
    <col min="10516" max="10516" width="0" style="584" hidden="1" customWidth="1"/>
    <col min="10517" max="10517" width="23.140625" style="584" customWidth="1"/>
    <col min="10518" max="10518" width="14" style="584" customWidth="1"/>
    <col min="10519" max="10519" width="29.140625" style="584" customWidth="1"/>
    <col min="10520" max="10520" width="19.28515625" style="584" customWidth="1"/>
    <col min="10521" max="10521" width="21.5703125" style="584" customWidth="1"/>
    <col min="10522" max="10522" width="20.7109375" style="584" customWidth="1"/>
    <col min="10523" max="10523" width="20.85546875" style="584" customWidth="1"/>
    <col min="10524" max="10752" width="11.42578125" style="584"/>
    <col min="10753" max="10753" width="10" style="584" customWidth="1"/>
    <col min="10754" max="10754" width="14.7109375" style="584" customWidth="1"/>
    <col min="10755" max="10755" width="14.140625" style="584" customWidth="1"/>
    <col min="10756" max="10756" width="16.140625" style="584" customWidth="1"/>
    <col min="10757" max="10762" width="11.42578125" style="584"/>
    <col min="10763" max="10763" width="57.7109375" style="584" customWidth="1"/>
    <col min="10764" max="10766" width="0" style="584" hidden="1" customWidth="1"/>
    <col min="10767" max="10767" width="23.85546875" style="584" customWidth="1"/>
    <col min="10768" max="10768" width="25.7109375" style="584" customWidth="1"/>
    <col min="10769" max="10769" width="23.7109375" style="584" customWidth="1"/>
    <col min="10770" max="10770" width="20.7109375" style="584" customWidth="1"/>
    <col min="10771" max="10771" width="21.140625" style="584" bestFit="1" customWidth="1"/>
    <col min="10772" max="10772" width="0" style="584" hidden="1" customWidth="1"/>
    <col min="10773" max="10773" width="23.140625" style="584" customWidth="1"/>
    <col min="10774" max="10774" width="14" style="584" customWidth="1"/>
    <col min="10775" max="10775" width="29.140625" style="584" customWidth="1"/>
    <col min="10776" max="10776" width="19.28515625" style="584" customWidth="1"/>
    <col min="10777" max="10777" width="21.5703125" style="584" customWidth="1"/>
    <col min="10778" max="10778" width="20.7109375" style="584" customWidth="1"/>
    <col min="10779" max="10779" width="20.85546875" style="584" customWidth="1"/>
    <col min="10780" max="11008" width="11.42578125" style="584"/>
    <col min="11009" max="11009" width="10" style="584" customWidth="1"/>
    <col min="11010" max="11010" width="14.7109375" style="584" customWidth="1"/>
    <col min="11011" max="11011" width="14.140625" style="584" customWidth="1"/>
    <col min="11012" max="11012" width="16.140625" style="584" customWidth="1"/>
    <col min="11013" max="11018" width="11.42578125" style="584"/>
    <col min="11019" max="11019" width="57.7109375" style="584" customWidth="1"/>
    <col min="11020" max="11022" width="0" style="584" hidden="1" customWidth="1"/>
    <col min="11023" max="11023" width="23.85546875" style="584" customWidth="1"/>
    <col min="11024" max="11024" width="25.7109375" style="584" customWidth="1"/>
    <col min="11025" max="11025" width="23.7109375" style="584" customWidth="1"/>
    <col min="11026" max="11026" width="20.7109375" style="584" customWidth="1"/>
    <col min="11027" max="11027" width="21.140625" style="584" bestFit="1" customWidth="1"/>
    <col min="11028" max="11028" width="0" style="584" hidden="1" customWidth="1"/>
    <col min="11029" max="11029" width="23.140625" style="584" customWidth="1"/>
    <col min="11030" max="11030" width="14" style="584" customWidth="1"/>
    <col min="11031" max="11031" width="29.140625" style="584" customWidth="1"/>
    <col min="11032" max="11032" width="19.28515625" style="584" customWidth="1"/>
    <col min="11033" max="11033" width="21.5703125" style="584" customWidth="1"/>
    <col min="11034" max="11034" width="20.7109375" style="584" customWidth="1"/>
    <col min="11035" max="11035" width="20.85546875" style="584" customWidth="1"/>
    <col min="11036" max="11264" width="11.42578125" style="584"/>
    <col min="11265" max="11265" width="10" style="584" customWidth="1"/>
    <col min="11266" max="11266" width="14.7109375" style="584" customWidth="1"/>
    <col min="11267" max="11267" width="14.140625" style="584" customWidth="1"/>
    <col min="11268" max="11268" width="16.140625" style="584" customWidth="1"/>
    <col min="11269" max="11274" width="11.42578125" style="584"/>
    <col min="11275" max="11275" width="57.7109375" style="584" customWidth="1"/>
    <col min="11276" max="11278" width="0" style="584" hidden="1" customWidth="1"/>
    <col min="11279" max="11279" width="23.85546875" style="584" customWidth="1"/>
    <col min="11280" max="11280" width="25.7109375" style="584" customWidth="1"/>
    <col min="11281" max="11281" width="23.7109375" style="584" customWidth="1"/>
    <col min="11282" max="11282" width="20.7109375" style="584" customWidth="1"/>
    <col min="11283" max="11283" width="21.140625" style="584" bestFit="1" customWidth="1"/>
    <col min="11284" max="11284" width="0" style="584" hidden="1" customWidth="1"/>
    <col min="11285" max="11285" width="23.140625" style="584" customWidth="1"/>
    <col min="11286" max="11286" width="14" style="584" customWidth="1"/>
    <col min="11287" max="11287" width="29.140625" style="584" customWidth="1"/>
    <col min="11288" max="11288" width="19.28515625" style="584" customWidth="1"/>
    <col min="11289" max="11289" width="21.5703125" style="584" customWidth="1"/>
    <col min="11290" max="11290" width="20.7109375" style="584" customWidth="1"/>
    <col min="11291" max="11291" width="20.85546875" style="584" customWidth="1"/>
    <col min="11292" max="11520" width="11.42578125" style="584"/>
    <col min="11521" max="11521" width="10" style="584" customWidth="1"/>
    <col min="11522" max="11522" width="14.7109375" style="584" customWidth="1"/>
    <col min="11523" max="11523" width="14.140625" style="584" customWidth="1"/>
    <col min="11524" max="11524" width="16.140625" style="584" customWidth="1"/>
    <col min="11525" max="11530" width="11.42578125" style="584"/>
    <col min="11531" max="11531" width="57.7109375" style="584" customWidth="1"/>
    <col min="11532" max="11534" width="0" style="584" hidden="1" customWidth="1"/>
    <col min="11535" max="11535" width="23.85546875" style="584" customWidth="1"/>
    <col min="11536" max="11536" width="25.7109375" style="584" customWidth="1"/>
    <col min="11537" max="11537" width="23.7109375" style="584" customWidth="1"/>
    <col min="11538" max="11538" width="20.7109375" style="584" customWidth="1"/>
    <col min="11539" max="11539" width="21.140625" style="584" bestFit="1" customWidth="1"/>
    <col min="11540" max="11540" width="0" style="584" hidden="1" customWidth="1"/>
    <col min="11541" max="11541" width="23.140625" style="584" customWidth="1"/>
    <col min="11542" max="11542" width="14" style="584" customWidth="1"/>
    <col min="11543" max="11543" width="29.140625" style="584" customWidth="1"/>
    <col min="11544" max="11544" width="19.28515625" style="584" customWidth="1"/>
    <col min="11545" max="11545" width="21.5703125" style="584" customWidth="1"/>
    <col min="11546" max="11546" width="20.7109375" style="584" customWidth="1"/>
    <col min="11547" max="11547" width="20.85546875" style="584" customWidth="1"/>
    <col min="11548" max="11776" width="11.42578125" style="584"/>
    <col min="11777" max="11777" width="10" style="584" customWidth="1"/>
    <col min="11778" max="11778" width="14.7109375" style="584" customWidth="1"/>
    <col min="11779" max="11779" width="14.140625" style="584" customWidth="1"/>
    <col min="11780" max="11780" width="16.140625" style="584" customWidth="1"/>
    <col min="11781" max="11786" width="11.42578125" style="584"/>
    <col min="11787" max="11787" width="57.7109375" style="584" customWidth="1"/>
    <col min="11788" max="11790" width="0" style="584" hidden="1" customWidth="1"/>
    <col min="11791" max="11791" width="23.85546875" style="584" customWidth="1"/>
    <col min="11792" max="11792" width="25.7109375" style="584" customWidth="1"/>
    <col min="11793" max="11793" width="23.7109375" style="584" customWidth="1"/>
    <col min="11794" max="11794" width="20.7109375" style="584" customWidth="1"/>
    <col min="11795" max="11795" width="21.140625" style="584" bestFit="1" customWidth="1"/>
    <col min="11796" max="11796" width="0" style="584" hidden="1" customWidth="1"/>
    <col min="11797" max="11797" width="23.140625" style="584" customWidth="1"/>
    <col min="11798" max="11798" width="14" style="584" customWidth="1"/>
    <col min="11799" max="11799" width="29.140625" style="584" customWidth="1"/>
    <col min="11800" max="11800" width="19.28515625" style="584" customWidth="1"/>
    <col min="11801" max="11801" width="21.5703125" style="584" customWidth="1"/>
    <col min="11802" max="11802" width="20.7109375" style="584" customWidth="1"/>
    <col min="11803" max="11803" width="20.85546875" style="584" customWidth="1"/>
    <col min="11804" max="12032" width="11.42578125" style="584"/>
    <col min="12033" max="12033" width="10" style="584" customWidth="1"/>
    <col min="12034" max="12034" width="14.7109375" style="584" customWidth="1"/>
    <col min="12035" max="12035" width="14.140625" style="584" customWidth="1"/>
    <col min="12036" max="12036" width="16.140625" style="584" customWidth="1"/>
    <col min="12037" max="12042" width="11.42578125" style="584"/>
    <col min="12043" max="12043" width="57.7109375" style="584" customWidth="1"/>
    <col min="12044" max="12046" width="0" style="584" hidden="1" customWidth="1"/>
    <col min="12047" max="12047" width="23.85546875" style="584" customWidth="1"/>
    <col min="12048" max="12048" width="25.7109375" style="584" customWidth="1"/>
    <col min="12049" max="12049" width="23.7109375" style="584" customWidth="1"/>
    <col min="12050" max="12050" width="20.7109375" style="584" customWidth="1"/>
    <col min="12051" max="12051" width="21.140625" style="584" bestFit="1" customWidth="1"/>
    <col min="12052" max="12052" width="0" style="584" hidden="1" customWidth="1"/>
    <col min="12053" max="12053" width="23.140625" style="584" customWidth="1"/>
    <col min="12054" max="12054" width="14" style="584" customWidth="1"/>
    <col min="12055" max="12055" width="29.140625" style="584" customWidth="1"/>
    <col min="12056" max="12056" width="19.28515625" style="584" customWidth="1"/>
    <col min="12057" max="12057" width="21.5703125" style="584" customWidth="1"/>
    <col min="12058" max="12058" width="20.7109375" style="584" customWidth="1"/>
    <col min="12059" max="12059" width="20.85546875" style="584" customWidth="1"/>
    <col min="12060" max="12288" width="11.42578125" style="584"/>
    <col min="12289" max="12289" width="10" style="584" customWidth="1"/>
    <col min="12290" max="12290" width="14.7109375" style="584" customWidth="1"/>
    <col min="12291" max="12291" width="14.140625" style="584" customWidth="1"/>
    <col min="12292" max="12292" width="16.140625" style="584" customWidth="1"/>
    <col min="12293" max="12298" width="11.42578125" style="584"/>
    <col min="12299" max="12299" width="57.7109375" style="584" customWidth="1"/>
    <col min="12300" max="12302" width="0" style="584" hidden="1" customWidth="1"/>
    <col min="12303" max="12303" width="23.85546875" style="584" customWidth="1"/>
    <col min="12304" max="12304" width="25.7109375" style="584" customWidth="1"/>
    <col min="12305" max="12305" width="23.7109375" style="584" customWidth="1"/>
    <col min="12306" max="12306" width="20.7109375" style="584" customWidth="1"/>
    <col min="12307" max="12307" width="21.140625" style="584" bestFit="1" customWidth="1"/>
    <col min="12308" max="12308" width="0" style="584" hidden="1" customWidth="1"/>
    <col min="12309" max="12309" width="23.140625" style="584" customWidth="1"/>
    <col min="12310" max="12310" width="14" style="584" customWidth="1"/>
    <col min="12311" max="12311" width="29.140625" style="584" customWidth="1"/>
    <col min="12312" max="12312" width="19.28515625" style="584" customWidth="1"/>
    <col min="12313" max="12313" width="21.5703125" style="584" customWidth="1"/>
    <col min="12314" max="12314" width="20.7109375" style="584" customWidth="1"/>
    <col min="12315" max="12315" width="20.85546875" style="584" customWidth="1"/>
    <col min="12316" max="12544" width="11.42578125" style="584"/>
    <col min="12545" max="12545" width="10" style="584" customWidth="1"/>
    <col min="12546" max="12546" width="14.7109375" style="584" customWidth="1"/>
    <col min="12547" max="12547" width="14.140625" style="584" customWidth="1"/>
    <col min="12548" max="12548" width="16.140625" style="584" customWidth="1"/>
    <col min="12549" max="12554" width="11.42578125" style="584"/>
    <col min="12555" max="12555" width="57.7109375" style="584" customWidth="1"/>
    <col min="12556" max="12558" width="0" style="584" hidden="1" customWidth="1"/>
    <col min="12559" max="12559" width="23.85546875" style="584" customWidth="1"/>
    <col min="12560" max="12560" width="25.7109375" style="584" customWidth="1"/>
    <col min="12561" max="12561" width="23.7109375" style="584" customWidth="1"/>
    <col min="12562" max="12562" width="20.7109375" style="584" customWidth="1"/>
    <col min="12563" max="12563" width="21.140625" style="584" bestFit="1" customWidth="1"/>
    <col min="12564" max="12564" width="0" style="584" hidden="1" customWidth="1"/>
    <col min="12565" max="12565" width="23.140625" style="584" customWidth="1"/>
    <col min="12566" max="12566" width="14" style="584" customWidth="1"/>
    <col min="12567" max="12567" width="29.140625" style="584" customWidth="1"/>
    <col min="12568" max="12568" width="19.28515625" style="584" customWidth="1"/>
    <col min="12569" max="12569" width="21.5703125" style="584" customWidth="1"/>
    <col min="12570" max="12570" width="20.7109375" style="584" customWidth="1"/>
    <col min="12571" max="12571" width="20.85546875" style="584" customWidth="1"/>
    <col min="12572" max="12800" width="11.42578125" style="584"/>
    <col min="12801" max="12801" width="10" style="584" customWidth="1"/>
    <col min="12802" max="12802" width="14.7109375" style="584" customWidth="1"/>
    <col min="12803" max="12803" width="14.140625" style="584" customWidth="1"/>
    <col min="12804" max="12804" width="16.140625" style="584" customWidth="1"/>
    <col min="12805" max="12810" width="11.42578125" style="584"/>
    <col min="12811" max="12811" width="57.7109375" style="584" customWidth="1"/>
    <col min="12812" max="12814" width="0" style="584" hidden="1" customWidth="1"/>
    <col min="12815" max="12815" width="23.85546875" style="584" customWidth="1"/>
    <col min="12816" max="12816" width="25.7109375" style="584" customWidth="1"/>
    <col min="12817" max="12817" width="23.7109375" style="584" customWidth="1"/>
    <col min="12818" max="12818" width="20.7109375" style="584" customWidth="1"/>
    <col min="12819" max="12819" width="21.140625" style="584" bestFit="1" customWidth="1"/>
    <col min="12820" max="12820" width="0" style="584" hidden="1" customWidth="1"/>
    <col min="12821" max="12821" width="23.140625" style="584" customWidth="1"/>
    <col min="12822" max="12822" width="14" style="584" customWidth="1"/>
    <col min="12823" max="12823" width="29.140625" style="584" customWidth="1"/>
    <col min="12824" max="12824" width="19.28515625" style="584" customWidth="1"/>
    <col min="12825" max="12825" width="21.5703125" style="584" customWidth="1"/>
    <col min="12826" max="12826" width="20.7109375" style="584" customWidth="1"/>
    <col min="12827" max="12827" width="20.85546875" style="584" customWidth="1"/>
    <col min="12828" max="13056" width="11.42578125" style="584"/>
    <col min="13057" max="13057" width="10" style="584" customWidth="1"/>
    <col min="13058" max="13058" width="14.7109375" style="584" customWidth="1"/>
    <col min="13059" max="13059" width="14.140625" style="584" customWidth="1"/>
    <col min="13060" max="13060" width="16.140625" style="584" customWidth="1"/>
    <col min="13061" max="13066" width="11.42578125" style="584"/>
    <col min="13067" max="13067" width="57.7109375" style="584" customWidth="1"/>
    <col min="13068" max="13070" width="0" style="584" hidden="1" customWidth="1"/>
    <col min="13071" max="13071" width="23.85546875" style="584" customWidth="1"/>
    <col min="13072" max="13072" width="25.7109375" style="584" customWidth="1"/>
    <col min="13073" max="13073" width="23.7109375" style="584" customWidth="1"/>
    <col min="13074" max="13074" width="20.7109375" style="584" customWidth="1"/>
    <col min="13075" max="13075" width="21.140625" style="584" bestFit="1" customWidth="1"/>
    <col min="13076" max="13076" width="0" style="584" hidden="1" customWidth="1"/>
    <col min="13077" max="13077" width="23.140625" style="584" customWidth="1"/>
    <col min="13078" max="13078" width="14" style="584" customWidth="1"/>
    <col min="13079" max="13079" width="29.140625" style="584" customWidth="1"/>
    <col min="13080" max="13080" width="19.28515625" style="584" customWidth="1"/>
    <col min="13081" max="13081" width="21.5703125" style="584" customWidth="1"/>
    <col min="13082" max="13082" width="20.7109375" style="584" customWidth="1"/>
    <col min="13083" max="13083" width="20.85546875" style="584" customWidth="1"/>
    <col min="13084" max="13312" width="11.42578125" style="584"/>
    <col min="13313" max="13313" width="10" style="584" customWidth="1"/>
    <col min="13314" max="13314" width="14.7109375" style="584" customWidth="1"/>
    <col min="13315" max="13315" width="14.140625" style="584" customWidth="1"/>
    <col min="13316" max="13316" width="16.140625" style="584" customWidth="1"/>
    <col min="13317" max="13322" width="11.42578125" style="584"/>
    <col min="13323" max="13323" width="57.7109375" style="584" customWidth="1"/>
    <col min="13324" max="13326" width="0" style="584" hidden="1" customWidth="1"/>
    <col min="13327" max="13327" width="23.85546875" style="584" customWidth="1"/>
    <col min="13328" max="13328" width="25.7109375" style="584" customWidth="1"/>
    <col min="13329" max="13329" width="23.7109375" style="584" customWidth="1"/>
    <col min="13330" max="13330" width="20.7109375" style="584" customWidth="1"/>
    <col min="13331" max="13331" width="21.140625" style="584" bestFit="1" customWidth="1"/>
    <col min="13332" max="13332" width="0" style="584" hidden="1" customWidth="1"/>
    <col min="13333" max="13333" width="23.140625" style="584" customWidth="1"/>
    <col min="13334" max="13334" width="14" style="584" customWidth="1"/>
    <col min="13335" max="13335" width="29.140625" style="584" customWidth="1"/>
    <col min="13336" max="13336" width="19.28515625" style="584" customWidth="1"/>
    <col min="13337" max="13337" width="21.5703125" style="584" customWidth="1"/>
    <col min="13338" max="13338" width="20.7109375" style="584" customWidth="1"/>
    <col min="13339" max="13339" width="20.85546875" style="584" customWidth="1"/>
    <col min="13340" max="13568" width="11.42578125" style="584"/>
    <col min="13569" max="13569" width="10" style="584" customWidth="1"/>
    <col min="13570" max="13570" width="14.7109375" style="584" customWidth="1"/>
    <col min="13571" max="13571" width="14.140625" style="584" customWidth="1"/>
    <col min="13572" max="13572" width="16.140625" style="584" customWidth="1"/>
    <col min="13573" max="13578" width="11.42578125" style="584"/>
    <col min="13579" max="13579" width="57.7109375" style="584" customWidth="1"/>
    <col min="13580" max="13582" width="0" style="584" hidden="1" customWidth="1"/>
    <col min="13583" max="13583" width="23.85546875" style="584" customWidth="1"/>
    <col min="13584" max="13584" width="25.7109375" style="584" customWidth="1"/>
    <col min="13585" max="13585" width="23.7109375" style="584" customWidth="1"/>
    <col min="13586" max="13586" width="20.7109375" style="584" customWidth="1"/>
    <col min="13587" max="13587" width="21.140625" style="584" bestFit="1" customWidth="1"/>
    <col min="13588" max="13588" width="0" style="584" hidden="1" customWidth="1"/>
    <col min="13589" max="13589" width="23.140625" style="584" customWidth="1"/>
    <col min="13590" max="13590" width="14" style="584" customWidth="1"/>
    <col min="13591" max="13591" width="29.140625" style="584" customWidth="1"/>
    <col min="13592" max="13592" width="19.28515625" style="584" customWidth="1"/>
    <col min="13593" max="13593" width="21.5703125" style="584" customWidth="1"/>
    <col min="13594" max="13594" width="20.7109375" style="584" customWidth="1"/>
    <col min="13595" max="13595" width="20.85546875" style="584" customWidth="1"/>
    <col min="13596" max="13824" width="11.42578125" style="584"/>
    <col min="13825" max="13825" width="10" style="584" customWidth="1"/>
    <col min="13826" max="13826" width="14.7109375" style="584" customWidth="1"/>
    <col min="13827" max="13827" width="14.140625" style="584" customWidth="1"/>
    <col min="13828" max="13828" width="16.140625" style="584" customWidth="1"/>
    <col min="13829" max="13834" width="11.42578125" style="584"/>
    <col min="13835" max="13835" width="57.7109375" style="584" customWidth="1"/>
    <col min="13836" max="13838" width="0" style="584" hidden="1" customWidth="1"/>
    <col min="13839" max="13839" width="23.85546875" style="584" customWidth="1"/>
    <col min="13840" max="13840" width="25.7109375" style="584" customWidth="1"/>
    <col min="13841" max="13841" width="23.7109375" style="584" customWidth="1"/>
    <col min="13842" max="13842" width="20.7109375" style="584" customWidth="1"/>
    <col min="13843" max="13843" width="21.140625" style="584" bestFit="1" customWidth="1"/>
    <col min="13844" max="13844" width="0" style="584" hidden="1" customWidth="1"/>
    <col min="13845" max="13845" width="23.140625" style="584" customWidth="1"/>
    <col min="13846" max="13846" width="14" style="584" customWidth="1"/>
    <col min="13847" max="13847" width="29.140625" style="584" customWidth="1"/>
    <col min="13848" max="13848" width="19.28515625" style="584" customWidth="1"/>
    <col min="13849" max="13849" width="21.5703125" style="584" customWidth="1"/>
    <col min="13850" max="13850" width="20.7109375" style="584" customWidth="1"/>
    <col min="13851" max="13851" width="20.85546875" style="584" customWidth="1"/>
    <col min="13852" max="14080" width="11.42578125" style="584"/>
    <col min="14081" max="14081" width="10" style="584" customWidth="1"/>
    <col min="14082" max="14082" width="14.7109375" style="584" customWidth="1"/>
    <col min="14083" max="14083" width="14.140625" style="584" customWidth="1"/>
    <col min="14084" max="14084" width="16.140625" style="584" customWidth="1"/>
    <col min="14085" max="14090" width="11.42578125" style="584"/>
    <col min="14091" max="14091" width="57.7109375" style="584" customWidth="1"/>
    <col min="14092" max="14094" width="0" style="584" hidden="1" customWidth="1"/>
    <col min="14095" max="14095" width="23.85546875" style="584" customWidth="1"/>
    <col min="14096" max="14096" width="25.7109375" style="584" customWidth="1"/>
    <col min="14097" max="14097" width="23.7109375" style="584" customWidth="1"/>
    <col min="14098" max="14098" width="20.7109375" style="584" customWidth="1"/>
    <col min="14099" max="14099" width="21.140625" style="584" bestFit="1" customWidth="1"/>
    <col min="14100" max="14100" width="0" style="584" hidden="1" customWidth="1"/>
    <col min="14101" max="14101" width="23.140625" style="584" customWidth="1"/>
    <col min="14102" max="14102" width="14" style="584" customWidth="1"/>
    <col min="14103" max="14103" width="29.140625" style="584" customWidth="1"/>
    <col min="14104" max="14104" width="19.28515625" style="584" customWidth="1"/>
    <col min="14105" max="14105" width="21.5703125" style="584" customWidth="1"/>
    <col min="14106" max="14106" width="20.7109375" style="584" customWidth="1"/>
    <col min="14107" max="14107" width="20.85546875" style="584" customWidth="1"/>
    <col min="14108" max="14336" width="11.42578125" style="584"/>
    <col min="14337" max="14337" width="10" style="584" customWidth="1"/>
    <col min="14338" max="14338" width="14.7109375" style="584" customWidth="1"/>
    <col min="14339" max="14339" width="14.140625" style="584" customWidth="1"/>
    <col min="14340" max="14340" width="16.140625" style="584" customWidth="1"/>
    <col min="14341" max="14346" width="11.42578125" style="584"/>
    <col min="14347" max="14347" width="57.7109375" style="584" customWidth="1"/>
    <col min="14348" max="14350" width="0" style="584" hidden="1" customWidth="1"/>
    <col min="14351" max="14351" width="23.85546875" style="584" customWidth="1"/>
    <col min="14352" max="14352" width="25.7109375" style="584" customWidth="1"/>
    <col min="14353" max="14353" width="23.7109375" style="584" customWidth="1"/>
    <col min="14354" max="14354" width="20.7109375" style="584" customWidth="1"/>
    <col min="14355" max="14355" width="21.140625" style="584" bestFit="1" customWidth="1"/>
    <col min="14356" max="14356" width="0" style="584" hidden="1" customWidth="1"/>
    <col min="14357" max="14357" width="23.140625" style="584" customWidth="1"/>
    <col min="14358" max="14358" width="14" style="584" customWidth="1"/>
    <col min="14359" max="14359" width="29.140625" style="584" customWidth="1"/>
    <col min="14360" max="14360" width="19.28515625" style="584" customWidth="1"/>
    <col min="14361" max="14361" width="21.5703125" style="584" customWidth="1"/>
    <col min="14362" max="14362" width="20.7109375" style="584" customWidth="1"/>
    <col min="14363" max="14363" width="20.85546875" style="584" customWidth="1"/>
    <col min="14364" max="14592" width="11.42578125" style="584"/>
    <col min="14593" max="14593" width="10" style="584" customWidth="1"/>
    <col min="14594" max="14594" width="14.7109375" style="584" customWidth="1"/>
    <col min="14595" max="14595" width="14.140625" style="584" customWidth="1"/>
    <col min="14596" max="14596" width="16.140625" style="584" customWidth="1"/>
    <col min="14597" max="14602" width="11.42578125" style="584"/>
    <col min="14603" max="14603" width="57.7109375" style="584" customWidth="1"/>
    <col min="14604" max="14606" width="0" style="584" hidden="1" customWidth="1"/>
    <col min="14607" max="14607" width="23.85546875" style="584" customWidth="1"/>
    <col min="14608" max="14608" width="25.7109375" style="584" customWidth="1"/>
    <col min="14609" max="14609" width="23.7109375" style="584" customWidth="1"/>
    <col min="14610" max="14610" width="20.7109375" style="584" customWidth="1"/>
    <col min="14611" max="14611" width="21.140625" style="584" bestFit="1" customWidth="1"/>
    <col min="14612" max="14612" width="0" style="584" hidden="1" customWidth="1"/>
    <col min="14613" max="14613" width="23.140625" style="584" customWidth="1"/>
    <col min="14614" max="14614" width="14" style="584" customWidth="1"/>
    <col min="14615" max="14615" width="29.140625" style="584" customWidth="1"/>
    <col min="14616" max="14616" width="19.28515625" style="584" customWidth="1"/>
    <col min="14617" max="14617" width="21.5703125" style="584" customWidth="1"/>
    <col min="14618" max="14618" width="20.7109375" style="584" customWidth="1"/>
    <col min="14619" max="14619" width="20.85546875" style="584" customWidth="1"/>
    <col min="14620" max="14848" width="11.42578125" style="584"/>
    <col min="14849" max="14849" width="10" style="584" customWidth="1"/>
    <col min="14850" max="14850" width="14.7109375" style="584" customWidth="1"/>
    <col min="14851" max="14851" width="14.140625" style="584" customWidth="1"/>
    <col min="14852" max="14852" width="16.140625" style="584" customWidth="1"/>
    <col min="14853" max="14858" width="11.42578125" style="584"/>
    <col min="14859" max="14859" width="57.7109375" style="584" customWidth="1"/>
    <col min="14860" max="14862" width="0" style="584" hidden="1" customWidth="1"/>
    <col min="14863" max="14863" width="23.85546875" style="584" customWidth="1"/>
    <col min="14864" max="14864" width="25.7109375" style="584" customWidth="1"/>
    <col min="14865" max="14865" width="23.7109375" style="584" customWidth="1"/>
    <col min="14866" max="14866" width="20.7109375" style="584" customWidth="1"/>
    <col min="14867" max="14867" width="21.140625" style="584" bestFit="1" customWidth="1"/>
    <col min="14868" max="14868" width="0" style="584" hidden="1" customWidth="1"/>
    <col min="14869" max="14869" width="23.140625" style="584" customWidth="1"/>
    <col min="14870" max="14870" width="14" style="584" customWidth="1"/>
    <col min="14871" max="14871" width="29.140625" style="584" customWidth="1"/>
    <col min="14872" max="14872" width="19.28515625" style="584" customWidth="1"/>
    <col min="14873" max="14873" width="21.5703125" style="584" customWidth="1"/>
    <col min="14874" max="14874" width="20.7109375" style="584" customWidth="1"/>
    <col min="14875" max="14875" width="20.85546875" style="584" customWidth="1"/>
    <col min="14876" max="15104" width="11.42578125" style="584"/>
    <col min="15105" max="15105" width="10" style="584" customWidth="1"/>
    <col min="15106" max="15106" width="14.7109375" style="584" customWidth="1"/>
    <col min="15107" max="15107" width="14.140625" style="584" customWidth="1"/>
    <col min="15108" max="15108" width="16.140625" style="584" customWidth="1"/>
    <col min="15109" max="15114" width="11.42578125" style="584"/>
    <col min="15115" max="15115" width="57.7109375" style="584" customWidth="1"/>
    <col min="15116" max="15118" width="0" style="584" hidden="1" customWidth="1"/>
    <col min="15119" max="15119" width="23.85546875" style="584" customWidth="1"/>
    <col min="15120" max="15120" width="25.7109375" style="584" customWidth="1"/>
    <col min="15121" max="15121" width="23.7109375" style="584" customWidth="1"/>
    <col min="15122" max="15122" width="20.7109375" style="584" customWidth="1"/>
    <col min="15123" max="15123" width="21.140625" style="584" bestFit="1" customWidth="1"/>
    <col min="15124" max="15124" width="0" style="584" hidden="1" customWidth="1"/>
    <col min="15125" max="15125" width="23.140625" style="584" customWidth="1"/>
    <col min="15126" max="15126" width="14" style="584" customWidth="1"/>
    <col min="15127" max="15127" width="29.140625" style="584" customWidth="1"/>
    <col min="15128" max="15128" width="19.28515625" style="584" customWidth="1"/>
    <col min="15129" max="15129" width="21.5703125" style="584" customWidth="1"/>
    <col min="15130" max="15130" width="20.7109375" style="584" customWidth="1"/>
    <col min="15131" max="15131" width="20.85546875" style="584" customWidth="1"/>
    <col min="15132" max="15360" width="11.42578125" style="584"/>
    <col min="15361" max="15361" width="10" style="584" customWidth="1"/>
    <col min="15362" max="15362" width="14.7109375" style="584" customWidth="1"/>
    <col min="15363" max="15363" width="14.140625" style="584" customWidth="1"/>
    <col min="15364" max="15364" width="16.140625" style="584" customWidth="1"/>
    <col min="15365" max="15370" width="11.42578125" style="584"/>
    <col min="15371" max="15371" width="57.7109375" style="584" customWidth="1"/>
    <col min="15372" max="15374" width="0" style="584" hidden="1" customWidth="1"/>
    <col min="15375" max="15375" width="23.85546875" style="584" customWidth="1"/>
    <col min="15376" max="15376" width="25.7109375" style="584" customWidth="1"/>
    <col min="15377" max="15377" width="23.7109375" style="584" customWidth="1"/>
    <col min="15378" max="15378" width="20.7109375" style="584" customWidth="1"/>
    <col min="15379" max="15379" width="21.140625" style="584" bestFit="1" customWidth="1"/>
    <col min="15380" max="15380" width="0" style="584" hidden="1" customWidth="1"/>
    <col min="15381" max="15381" width="23.140625" style="584" customWidth="1"/>
    <col min="15382" max="15382" width="14" style="584" customWidth="1"/>
    <col min="15383" max="15383" width="29.140625" style="584" customWidth="1"/>
    <col min="15384" max="15384" width="19.28515625" style="584" customWidth="1"/>
    <col min="15385" max="15385" width="21.5703125" style="584" customWidth="1"/>
    <col min="15386" max="15386" width="20.7109375" style="584" customWidth="1"/>
    <col min="15387" max="15387" width="20.85546875" style="584" customWidth="1"/>
    <col min="15388" max="15616" width="11.42578125" style="584"/>
    <col min="15617" max="15617" width="10" style="584" customWidth="1"/>
    <col min="15618" max="15618" width="14.7109375" style="584" customWidth="1"/>
    <col min="15619" max="15619" width="14.140625" style="584" customWidth="1"/>
    <col min="15620" max="15620" width="16.140625" style="584" customWidth="1"/>
    <col min="15621" max="15626" width="11.42578125" style="584"/>
    <col min="15627" max="15627" width="57.7109375" style="584" customWidth="1"/>
    <col min="15628" max="15630" width="0" style="584" hidden="1" customWidth="1"/>
    <col min="15631" max="15631" width="23.85546875" style="584" customWidth="1"/>
    <col min="15632" max="15632" width="25.7109375" style="584" customWidth="1"/>
    <col min="15633" max="15633" width="23.7109375" style="584" customWidth="1"/>
    <col min="15634" max="15634" width="20.7109375" style="584" customWidth="1"/>
    <col min="15635" max="15635" width="21.140625" style="584" bestFit="1" customWidth="1"/>
    <col min="15636" max="15636" width="0" style="584" hidden="1" customWidth="1"/>
    <col min="15637" max="15637" width="23.140625" style="584" customWidth="1"/>
    <col min="15638" max="15638" width="14" style="584" customWidth="1"/>
    <col min="15639" max="15639" width="29.140625" style="584" customWidth="1"/>
    <col min="15640" max="15640" width="19.28515625" style="584" customWidth="1"/>
    <col min="15641" max="15641" width="21.5703125" style="584" customWidth="1"/>
    <col min="15642" max="15642" width="20.7109375" style="584" customWidth="1"/>
    <col min="15643" max="15643" width="20.85546875" style="584" customWidth="1"/>
    <col min="15644" max="15872" width="11.42578125" style="584"/>
    <col min="15873" max="15873" width="10" style="584" customWidth="1"/>
    <col min="15874" max="15874" width="14.7109375" style="584" customWidth="1"/>
    <col min="15875" max="15875" width="14.140625" style="584" customWidth="1"/>
    <col min="15876" max="15876" width="16.140625" style="584" customWidth="1"/>
    <col min="15877" max="15882" width="11.42578125" style="584"/>
    <col min="15883" max="15883" width="57.7109375" style="584" customWidth="1"/>
    <col min="15884" max="15886" width="0" style="584" hidden="1" customWidth="1"/>
    <col min="15887" max="15887" width="23.85546875" style="584" customWidth="1"/>
    <col min="15888" max="15888" width="25.7109375" style="584" customWidth="1"/>
    <col min="15889" max="15889" width="23.7109375" style="584" customWidth="1"/>
    <col min="15890" max="15890" width="20.7109375" style="584" customWidth="1"/>
    <col min="15891" max="15891" width="21.140625" style="584" bestFit="1" customWidth="1"/>
    <col min="15892" max="15892" width="0" style="584" hidden="1" customWidth="1"/>
    <col min="15893" max="15893" width="23.140625" style="584" customWidth="1"/>
    <col min="15894" max="15894" width="14" style="584" customWidth="1"/>
    <col min="15895" max="15895" width="29.140625" style="584" customWidth="1"/>
    <col min="15896" max="15896" width="19.28515625" style="584" customWidth="1"/>
    <col min="15897" max="15897" width="21.5703125" style="584" customWidth="1"/>
    <col min="15898" max="15898" width="20.7109375" style="584" customWidth="1"/>
    <col min="15899" max="15899" width="20.85546875" style="584" customWidth="1"/>
    <col min="15900" max="16128" width="11.42578125" style="584"/>
    <col min="16129" max="16129" width="10" style="584" customWidth="1"/>
    <col min="16130" max="16130" width="14.7109375" style="584" customWidth="1"/>
    <col min="16131" max="16131" width="14.140625" style="584" customWidth="1"/>
    <col min="16132" max="16132" width="16.140625" style="584" customWidth="1"/>
    <col min="16133" max="16138" width="11.42578125" style="584"/>
    <col min="16139" max="16139" width="57.7109375" style="584" customWidth="1"/>
    <col min="16140" max="16142" width="0" style="584" hidden="1" customWidth="1"/>
    <col min="16143" max="16143" width="23.85546875" style="584" customWidth="1"/>
    <col min="16144" max="16144" width="25.7109375" style="584" customWidth="1"/>
    <col min="16145" max="16145" width="23.7109375" style="584" customWidth="1"/>
    <col min="16146" max="16146" width="20.7109375" style="584" customWidth="1"/>
    <col min="16147" max="16147" width="21.140625" style="584" bestFit="1" customWidth="1"/>
    <col min="16148" max="16148" width="0" style="584" hidden="1" customWidth="1"/>
    <col min="16149" max="16149" width="23.140625" style="584" customWidth="1"/>
    <col min="16150" max="16150" width="14" style="584" customWidth="1"/>
    <col min="16151" max="16151" width="29.140625" style="584" customWidth="1"/>
    <col min="16152" max="16152" width="19.28515625" style="584" customWidth="1"/>
    <col min="16153" max="16153" width="21.5703125" style="584" customWidth="1"/>
    <col min="16154" max="16154" width="20.7109375" style="584" customWidth="1"/>
    <col min="16155" max="16155" width="20.85546875" style="584" customWidth="1"/>
    <col min="16156" max="16384" width="11.42578125" style="584"/>
  </cols>
  <sheetData>
    <row r="1" spans="1:27" ht="109.5" customHeight="1" thickBot="1" x14ac:dyDescent="0.3">
      <c r="A1" s="976"/>
      <c r="B1" s="977"/>
      <c r="C1" s="977"/>
      <c r="D1" s="977"/>
      <c r="E1" s="977"/>
      <c r="F1" s="978"/>
      <c r="G1" s="978"/>
      <c r="H1" s="978"/>
      <c r="I1" s="977"/>
      <c r="J1" s="977"/>
      <c r="K1" s="977"/>
      <c r="L1" s="977"/>
      <c r="M1" s="977"/>
      <c r="N1" s="977"/>
      <c r="O1" s="977"/>
      <c r="P1" s="977"/>
      <c r="Q1" s="977"/>
      <c r="R1" s="977"/>
      <c r="S1" s="977"/>
      <c r="T1" s="977"/>
      <c r="U1" s="977"/>
      <c r="V1" s="977"/>
    </row>
    <row r="2" spans="1:27" s="586" customFormat="1" ht="26.25" customHeight="1" x14ac:dyDescent="0.25">
      <c r="A2" s="979" t="s">
        <v>1401</v>
      </c>
      <c r="B2" s="980"/>
      <c r="C2" s="980"/>
      <c r="D2" s="980"/>
      <c r="E2" s="980"/>
      <c r="F2" s="980"/>
      <c r="G2" s="980"/>
      <c r="H2" s="980"/>
      <c r="I2" s="980"/>
      <c r="J2" s="980"/>
      <c r="K2" s="980"/>
      <c r="L2" s="980"/>
      <c r="M2" s="980"/>
      <c r="N2" s="980"/>
      <c r="O2" s="980"/>
      <c r="P2" s="980"/>
      <c r="Q2" s="980"/>
      <c r="R2" s="980"/>
      <c r="S2" s="980"/>
      <c r="T2" s="980"/>
      <c r="U2" s="980"/>
      <c r="V2" s="980"/>
      <c r="W2" s="585"/>
    </row>
    <row r="3" spans="1:27" s="586" customFormat="1" ht="26.25" customHeight="1" x14ac:dyDescent="0.25">
      <c r="A3" s="981" t="s">
        <v>2064</v>
      </c>
      <c r="B3" s="982"/>
      <c r="C3" s="982"/>
      <c r="D3" s="982"/>
      <c r="E3" s="982"/>
      <c r="F3" s="982"/>
      <c r="G3" s="982"/>
      <c r="H3" s="982"/>
      <c r="I3" s="982"/>
      <c r="J3" s="982"/>
      <c r="K3" s="982"/>
      <c r="L3" s="982"/>
      <c r="M3" s="982"/>
      <c r="N3" s="982"/>
      <c r="O3" s="982"/>
      <c r="P3" s="982"/>
      <c r="Q3" s="982"/>
      <c r="R3" s="982"/>
      <c r="S3" s="982"/>
      <c r="T3" s="982"/>
      <c r="U3" s="982"/>
      <c r="V3" s="982"/>
    </row>
    <row r="4" spans="1:27" s="586" customFormat="1" ht="26.25" customHeight="1" thickBot="1" x14ac:dyDescent="0.3">
      <c r="A4" s="983" t="s">
        <v>2065</v>
      </c>
      <c r="B4" s="984"/>
      <c r="C4" s="984"/>
      <c r="D4" s="984"/>
      <c r="E4" s="984"/>
      <c r="F4" s="984"/>
      <c r="G4" s="984"/>
      <c r="H4" s="984"/>
      <c r="I4" s="984"/>
      <c r="J4" s="984"/>
      <c r="K4" s="984"/>
      <c r="L4" s="984"/>
      <c r="M4" s="984"/>
      <c r="N4" s="984"/>
      <c r="O4" s="984"/>
      <c r="P4" s="984"/>
      <c r="Q4" s="984"/>
      <c r="R4" s="984"/>
      <c r="S4" s="984"/>
      <c r="T4" s="984"/>
      <c r="U4" s="984"/>
      <c r="V4" s="984"/>
      <c r="W4" s="585"/>
    </row>
    <row r="5" spans="1:27" s="587" customFormat="1" ht="36" customHeight="1" thickTop="1" thickBot="1" x14ac:dyDescent="0.3">
      <c r="A5" s="985" t="s">
        <v>1321</v>
      </c>
      <c r="B5" s="986"/>
      <c r="C5" s="986"/>
      <c r="D5" s="986"/>
      <c r="E5" s="986"/>
      <c r="F5" s="986"/>
      <c r="G5" s="986"/>
      <c r="H5" s="986"/>
      <c r="I5" s="987"/>
      <c r="J5" s="804"/>
      <c r="K5" s="971" t="s">
        <v>1322</v>
      </c>
      <c r="L5" s="971" t="s">
        <v>1323</v>
      </c>
      <c r="M5" s="988" t="s">
        <v>1324</v>
      </c>
      <c r="N5" s="988"/>
      <c r="O5" s="971" t="s">
        <v>1325</v>
      </c>
      <c r="P5" s="989" t="s">
        <v>1326</v>
      </c>
      <c r="Q5" s="990"/>
      <c r="R5" s="990"/>
      <c r="S5" s="991"/>
      <c r="T5" s="969" t="s">
        <v>1327</v>
      </c>
      <c r="U5" s="971" t="s">
        <v>1328</v>
      </c>
      <c r="V5" s="973" t="s">
        <v>1329</v>
      </c>
      <c r="W5" s="974" t="s">
        <v>2066</v>
      </c>
    </row>
    <row r="6" spans="1:27" s="588" customFormat="1" ht="35.25" thickTop="1" thickBot="1" x14ac:dyDescent="0.3">
      <c r="A6" s="440" t="s">
        <v>1330</v>
      </c>
      <c r="B6" s="440" t="s">
        <v>1276</v>
      </c>
      <c r="C6" s="441" t="s">
        <v>1331</v>
      </c>
      <c r="D6" s="440" t="s">
        <v>1279</v>
      </c>
      <c r="E6" s="440" t="s">
        <v>1332</v>
      </c>
      <c r="F6" s="440" t="s">
        <v>1333</v>
      </c>
      <c r="G6" s="440" t="s">
        <v>1334</v>
      </c>
      <c r="H6" s="440" t="s">
        <v>1335</v>
      </c>
      <c r="I6" s="442" t="s">
        <v>1336</v>
      </c>
      <c r="J6" s="442"/>
      <c r="K6" s="972"/>
      <c r="L6" s="972"/>
      <c r="M6" s="803" t="s">
        <v>1337</v>
      </c>
      <c r="N6" s="443" t="s">
        <v>1338</v>
      </c>
      <c r="O6" s="972"/>
      <c r="P6" s="444" t="s">
        <v>1339</v>
      </c>
      <c r="Q6" s="803" t="s">
        <v>1340</v>
      </c>
      <c r="R6" s="444" t="s">
        <v>1341</v>
      </c>
      <c r="S6" s="444" t="s">
        <v>1342</v>
      </c>
      <c r="T6" s="970"/>
      <c r="U6" s="972"/>
      <c r="V6" s="971"/>
      <c r="W6" s="975"/>
      <c r="X6" s="444" t="s">
        <v>2067</v>
      </c>
      <c r="Y6" s="803" t="s">
        <v>2068</v>
      </c>
      <c r="Z6" s="444" t="s">
        <v>2069</v>
      </c>
      <c r="AA6" s="444" t="s">
        <v>2070</v>
      </c>
    </row>
    <row r="7" spans="1:27" s="596" customFormat="1" ht="16.5" thickTop="1" thickBot="1" x14ac:dyDescent="0.3">
      <c r="A7" s="589" t="s">
        <v>1343</v>
      </c>
      <c r="B7" s="589"/>
      <c r="C7" s="589"/>
      <c r="D7" s="589"/>
      <c r="E7" s="589"/>
      <c r="F7" s="589"/>
      <c r="G7" s="589"/>
      <c r="H7" s="589"/>
      <c r="I7" s="590"/>
      <c r="J7" s="590"/>
      <c r="K7" s="591" t="s">
        <v>1344</v>
      </c>
      <c r="L7" s="592">
        <f t="shared" ref="L7:U7" si="0">+L8+L511+L519+L525+L526</f>
        <v>180741898446</v>
      </c>
      <c r="M7" s="592">
        <f t="shared" si="0"/>
        <v>32988640887</v>
      </c>
      <c r="N7" s="592">
        <f t="shared" si="0"/>
        <v>1258627410</v>
      </c>
      <c r="O7" s="592">
        <f t="shared" si="0"/>
        <v>212471911923</v>
      </c>
      <c r="P7" s="592">
        <f t="shared" si="0"/>
        <v>23335694413</v>
      </c>
      <c r="Q7" s="592">
        <f t="shared" si="0"/>
        <v>186529074082</v>
      </c>
      <c r="R7" s="592">
        <f t="shared" si="0"/>
        <v>1175611498</v>
      </c>
      <c r="S7" s="592">
        <f t="shared" si="0"/>
        <v>1431531930</v>
      </c>
      <c r="T7" s="592">
        <f t="shared" si="0"/>
        <v>168727528677</v>
      </c>
      <c r="U7" s="592">
        <f t="shared" si="0"/>
        <v>163451421650</v>
      </c>
      <c r="V7" s="593">
        <f>+U7/T7</f>
        <v>0.96873001656356739</v>
      </c>
      <c r="W7" s="594"/>
      <c r="X7" s="595">
        <f>+P7/$O7</f>
        <v>0.10982954971223149</v>
      </c>
      <c r="Y7" s="595">
        <f>+Q7/$O7</f>
        <v>0.87789991812940571</v>
      </c>
      <c r="Z7" s="595">
        <f>+R7/$O7</f>
        <v>5.5330207525314812E-3</v>
      </c>
      <c r="AA7" s="595">
        <f>+S7/$O7</f>
        <v>6.7375114058313198E-3</v>
      </c>
    </row>
    <row r="8" spans="1:27" s="602" customFormat="1" ht="16.5" thickTop="1" thickBot="1" x14ac:dyDescent="0.3">
      <c r="A8" s="445" t="s">
        <v>1343</v>
      </c>
      <c r="B8" s="445" t="s">
        <v>1343</v>
      </c>
      <c r="C8" s="445"/>
      <c r="D8" s="445"/>
      <c r="E8" s="445"/>
      <c r="F8" s="445"/>
      <c r="G8" s="445"/>
      <c r="H8" s="445"/>
      <c r="I8" s="447"/>
      <c r="J8" s="447"/>
      <c r="K8" s="597" t="s">
        <v>1860</v>
      </c>
      <c r="L8" s="598">
        <f t="shared" ref="L8:U8" si="1">+L9+L233</f>
        <v>96785718589</v>
      </c>
      <c r="M8" s="598">
        <f t="shared" si="1"/>
        <v>23721098117</v>
      </c>
      <c r="N8" s="598">
        <f t="shared" si="1"/>
        <v>1258627410</v>
      </c>
      <c r="O8" s="598">
        <f t="shared" si="1"/>
        <v>119248189296</v>
      </c>
      <c r="P8" s="598">
        <f t="shared" si="1"/>
        <v>18244394413</v>
      </c>
      <c r="Q8" s="598">
        <f t="shared" si="1"/>
        <v>98403922795</v>
      </c>
      <c r="R8" s="598">
        <f t="shared" si="1"/>
        <v>1175611498</v>
      </c>
      <c r="S8" s="598">
        <f t="shared" si="1"/>
        <v>1424260590</v>
      </c>
      <c r="T8" s="598">
        <f t="shared" si="1"/>
        <v>97963955703</v>
      </c>
      <c r="U8" s="598">
        <f t="shared" si="1"/>
        <v>92687848676</v>
      </c>
      <c r="V8" s="599">
        <f t="shared" ref="V8:V72" si="2">+U8/T8</f>
        <v>0.94614236441211375</v>
      </c>
      <c r="W8" s="600"/>
      <c r="X8" s="601">
        <f t="shared" ref="X8:AA71" si="3">+P8/$O8</f>
        <v>0.15299514835997582</v>
      </c>
      <c r="Y8" s="601">
        <f t="shared" si="3"/>
        <v>0.8252026582201597</v>
      </c>
      <c r="Z8" s="601">
        <f t="shared" si="3"/>
        <v>9.8585270345856232E-3</v>
      </c>
      <c r="AA8" s="601">
        <f t="shared" si="3"/>
        <v>1.1943666385278813E-2</v>
      </c>
    </row>
    <row r="9" spans="1:27" s="610" customFormat="1" ht="16.5" thickTop="1" thickBot="1" x14ac:dyDescent="0.3">
      <c r="A9" s="603">
        <v>1</v>
      </c>
      <c r="B9" s="604" t="s">
        <v>1343</v>
      </c>
      <c r="C9" s="604" t="s">
        <v>1343</v>
      </c>
      <c r="D9" s="604"/>
      <c r="E9" s="604"/>
      <c r="F9" s="604"/>
      <c r="G9" s="604"/>
      <c r="H9" s="604"/>
      <c r="I9" s="604"/>
      <c r="J9" s="604"/>
      <c r="K9" s="605" t="s">
        <v>1346</v>
      </c>
      <c r="L9" s="606">
        <f t="shared" ref="L9:U9" si="4">+L10+L26</f>
        <v>51568644945</v>
      </c>
      <c r="M9" s="606">
        <f t="shared" si="4"/>
        <v>23641036424</v>
      </c>
      <c r="N9" s="606">
        <f t="shared" si="4"/>
        <v>1258627410</v>
      </c>
      <c r="O9" s="606">
        <f t="shared" si="4"/>
        <v>73951053959</v>
      </c>
      <c r="P9" s="606">
        <f t="shared" si="4"/>
        <v>18244394413</v>
      </c>
      <c r="Q9" s="606">
        <f t="shared" si="4"/>
        <v>53107713525</v>
      </c>
      <c r="R9" s="606">
        <f t="shared" si="4"/>
        <v>1174685431</v>
      </c>
      <c r="S9" s="606">
        <f t="shared" si="4"/>
        <v>1424260590</v>
      </c>
      <c r="T9" s="606">
        <f t="shared" si="4"/>
        <v>68207200462</v>
      </c>
      <c r="U9" s="606">
        <f t="shared" si="4"/>
        <v>62851315216</v>
      </c>
      <c r="V9" s="607">
        <f t="shared" si="2"/>
        <v>0.92147624869922784</v>
      </c>
      <c r="W9" s="608"/>
      <c r="X9" s="609">
        <f t="shared" si="3"/>
        <v>0.24670905195097112</v>
      </c>
      <c r="Y9" s="609">
        <f t="shared" si="3"/>
        <v>0.71814681038141825</v>
      </c>
      <c r="Z9" s="609">
        <f t="shared" si="3"/>
        <v>1.5884634066896056E-2</v>
      </c>
      <c r="AA9" s="609">
        <f t="shared" si="3"/>
        <v>1.9259503600714597E-2</v>
      </c>
    </row>
    <row r="10" spans="1:27" s="617" customFormat="1" ht="16.5" thickTop="1" thickBot="1" x14ac:dyDescent="0.3">
      <c r="A10" s="611">
        <v>1</v>
      </c>
      <c r="B10" s="448" t="s">
        <v>1343</v>
      </c>
      <c r="C10" s="448" t="s">
        <v>1343</v>
      </c>
      <c r="D10" s="448" t="s">
        <v>1345</v>
      </c>
      <c r="E10" s="448"/>
      <c r="F10" s="448"/>
      <c r="G10" s="448"/>
      <c r="H10" s="448"/>
      <c r="I10" s="448"/>
      <c r="J10" s="448"/>
      <c r="K10" s="612" t="s">
        <v>1347</v>
      </c>
      <c r="L10" s="613">
        <f>+L11</f>
        <v>26683597019</v>
      </c>
      <c r="M10" s="613">
        <f t="shared" ref="M10:U10" si="5">+M11</f>
        <v>10910996618</v>
      </c>
      <c r="N10" s="613">
        <f t="shared" si="5"/>
        <v>1258627410</v>
      </c>
      <c r="O10" s="613">
        <f>+O11</f>
        <v>36335966227</v>
      </c>
      <c r="P10" s="613">
        <f t="shared" si="5"/>
        <v>18244394413</v>
      </c>
      <c r="Q10" s="613">
        <f t="shared" si="5"/>
        <v>16667311224</v>
      </c>
      <c r="R10" s="613">
        <f t="shared" si="5"/>
        <v>0</v>
      </c>
      <c r="S10" s="613">
        <f t="shared" si="5"/>
        <v>1424260590</v>
      </c>
      <c r="T10" s="613">
        <f t="shared" si="5"/>
        <v>33440736376</v>
      </c>
      <c r="U10" s="613">
        <f t="shared" si="5"/>
        <v>32309559751</v>
      </c>
      <c r="V10" s="614">
        <f t="shared" si="2"/>
        <v>0.96617369269978659</v>
      </c>
      <c r="W10" s="615"/>
      <c r="X10" s="616">
        <f t="shared" si="3"/>
        <v>0.50210291090162951</v>
      </c>
      <c r="Y10" s="616">
        <f t="shared" si="3"/>
        <v>0.4587000967546887</v>
      </c>
      <c r="Z10" s="616">
        <f t="shared" si="3"/>
        <v>0</v>
      </c>
      <c r="AA10" s="616">
        <f t="shared" si="3"/>
        <v>3.9196992343681812E-2</v>
      </c>
    </row>
    <row r="11" spans="1:27" s="625" customFormat="1" ht="22.5" customHeight="1" thickTop="1" thickBot="1" x14ac:dyDescent="0.3">
      <c r="A11" s="618">
        <v>1</v>
      </c>
      <c r="B11" s="619" t="s">
        <v>1343</v>
      </c>
      <c r="C11" s="619" t="s">
        <v>1343</v>
      </c>
      <c r="D11" s="619" t="s">
        <v>1345</v>
      </c>
      <c r="E11" s="619" t="s">
        <v>1345</v>
      </c>
      <c r="F11" s="619"/>
      <c r="G11" s="619"/>
      <c r="H11" s="619"/>
      <c r="I11" s="619"/>
      <c r="J11" s="619"/>
      <c r="K11" s="620" t="s">
        <v>1348</v>
      </c>
      <c r="L11" s="621">
        <f t="shared" ref="L11:U11" si="6">+L12+L21</f>
        <v>26683597019</v>
      </c>
      <c r="M11" s="621">
        <f t="shared" si="6"/>
        <v>10910996618</v>
      </c>
      <c r="N11" s="621">
        <f t="shared" si="6"/>
        <v>1258627410</v>
      </c>
      <c r="O11" s="621">
        <f t="shared" si="6"/>
        <v>36335966227</v>
      </c>
      <c r="P11" s="621">
        <f t="shared" si="6"/>
        <v>18244394413</v>
      </c>
      <c r="Q11" s="621">
        <f t="shared" si="6"/>
        <v>16667311224</v>
      </c>
      <c r="R11" s="621">
        <f t="shared" si="6"/>
        <v>0</v>
      </c>
      <c r="S11" s="621">
        <f t="shared" si="6"/>
        <v>1424260590</v>
      </c>
      <c r="T11" s="621">
        <f t="shared" si="6"/>
        <v>33440736376</v>
      </c>
      <c r="U11" s="621">
        <f t="shared" si="6"/>
        <v>32309559751</v>
      </c>
      <c r="V11" s="622">
        <f t="shared" si="2"/>
        <v>0.96617369269978659</v>
      </c>
      <c r="W11" s="623"/>
      <c r="X11" s="624">
        <f t="shared" si="3"/>
        <v>0.50210291090162951</v>
      </c>
      <c r="Y11" s="624">
        <f t="shared" si="3"/>
        <v>0.4587000967546887</v>
      </c>
      <c r="Z11" s="624">
        <f t="shared" si="3"/>
        <v>0</v>
      </c>
      <c r="AA11" s="624">
        <f t="shared" si="3"/>
        <v>3.9196992343681812E-2</v>
      </c>
    </row>
    <row r="12" spans="1:27" s="632" customFormat="1" ht="22.5" customHeight="1" thickTop="1" thickBot="1" x14ac:dyDescent="0.3">
      <c r="A12" s="626">
        <v>1</v>
      </c>
      <c r="B12" s="626">
        <v>1</v>
      </c>
      <c r="C12" s="626">
        <v>1</v>
      </c>
      <c r="D12" s="449" t="s">
        <v>1345</v>
      </c>
      <c r="E12" s="449" t="s">
        <v>1345</v>
      </c>
      <c r="F12" s="449" t="s">
        <v>2071</v>
      </c>
      <c r="G12" s="449"/>
      <c r="H12" s="449"/>
      <c r="I12" s="449"/>
      <c r="J12" s="449"/>
      <c r="K12" s="627" t="s">
        <v>2072</v>
      </c>
      <c r="L12" s="628">
        <f>+L13+L17</f>
        <v>26683597019</v>
      </c>
      <c r="M12" s="628">
        <f t="shared" ref="M12:U12" si="7">+M13+M17</f>
        <v>10910996618</v>
      </c>
      <c r="N12" s="628">
        <f t="shared" si="7"/>
        <v>1258627410</v>
      </c>
      <c r="O12" s="628">
        <f t="shared" si="7"/>
        <v>36335966227</v>
      </c>
      <c r="P12" s="628">
        <f t="shared" si="7"/>
        <v>18244394413</v>
      </c>
      <c r="Q12" s="628">
        <f t="shared" si="7"/>
        <v>16667311224</v>
      </c>
      <c r="R12" s="628">
        <f t="shared" si="7"/>
        <v>0</v>
      </c>
      <c r="S12" s="628">
        <f t="shared" si="7"/>
        <v>1424260590</v>
      </c>
      <c r="T12" s="628">
        <f t="shared" si="7"/>
        <v>33440736376</v>
      </c>
      <c r="U12" s="628">
        <f t="shared" si="7"/>
        <v>32309559751</v>
      </c>
      <c r="V12" s="629">
        <f t="shared" si="2"/>
        <v>0.96617369269978659</v>
      </c>
      <c r="W12" s="630"/>
      <c r="X12" s="631">
        <f t="shared" si="3"/>
        <v>0.50210291090162951</v>
      </c>
      <c r="Y12" s="631">
        <f t="shared" si="3"/>
        <v>0.4587000967546887</v>
      </c>
      <c r="Z12" s="631">
        <f t="shared" si="3"/>
        <v>0</v>
      </c>
      <c r="AA12" s="631">
        <f t="shared" si="3"/>
        <v>3.9196992343681812E-2</v>
      </c>
    </row>
    <row r="13" spans="1:27" s="587" customFormat="1" ht="22.5" customHeight="1" thickTop="1" thickBot="1" x14ac:dyDescent="0.3">
      <c r="A13" s="633">
        <v>1</v>
      </c>
      <c r="B13" s="633">
        <v>1</v>
      </c>
      <c r="C13" s="633">
        <v>1</v>
      </c>
      <c r="D13" s="524" t="s">
        <v>1345</v>
      </c>
      <c r="E13" s="524" t="s">
        <v>1345</v>
      </c>
      <c r="F13" s="524" t="s">
        <v>2071</v>
      </c>
      <c r="G13" s="524" t="s">
        <v>1345</v>
      </c>
      <c r="H13" s="524"/>
      <c r="I13" s="524"/>
      <c r="J13" s="524"/>
      <c r="K13" s="634" t="s">
        <v>2073</v>
      </c>
      <c r="L13" s="635">
        <f>SUBTOTAL(9,L14:L16)</f>
        <v>26660699354</v>
      </c>
      <c r="M13" s="635">
        <f t="shared" ref="M13:U13" si="8">SUBTOTAL(9,M14:M16)</f>
        <v>10910996618</v>
      </c>
      <c r="N13" s="635">
        <f t="shared" si="8"/>
        <v>1258627410</v>
      </c>
      <c r="O13" s="635">
        <f t="shared" si="8"/>
        <v>36313068562</v>
      </c>
      <c r="P13" s="635">
        <f t="shared" si="8"/>
        <v>18244394413</v>
      </c>
      <c r="Q13" s="635">
        <f t="shared" si="8"/>
        <v>16644413559</v>
      </c>
      <c r="R13" s="635">
        <f t="shared" si="8"/>
        <v>0</v>
      </c>
      <c r="S13" s="635">
        <f t="shared" si="8"/>
        <v>1424260590</v>
      </c>
      <c r="T13" s="635">
        <f t="shared" si="8"/>
        <v>33202684791</v>
      </c>
      <c r="U13" s="635">
        <f t="shared" si="8"/>
        <v>32076903892</v>
      </c>
      <c r="V13" s="636">
        <f t="shared" si="2"/>
        <v>0.96609367868633456</v>
      </c>
      <c r="W13" s="637"/>
      <c r="X13" s="638">
        <f t="shared" si="3"/>
        <v>0.50241951824726649</v>
      </c>
      <c r="Y13" s="638">
        <f t="shared" si="3"/>
        <v>0.45835877324940899</v>
      </c>
      <c r="Z13" s="638">
        <f t="shared" si="3"/>
        <v>0</v>
      </c>
      <c r="AA13" s="638">
        <f t="shared" si="3"/>
        <v>3.9221708503324473E-2</v>
      </c>
    </row>
    <row r="14" spans="1:27" ht="22.5" customHeight="1" thickTop="1" thickBot="1" x14ac:dyDescent="0.3">
      <c r="A14" s="451">
        <v>1</v>
      </c>
      <c r="B14" s="451">
        <v>1</v>
      </c>
      <c r="C14" s="451">
        <v>1</v>
      </c>
      <c r="D14" s="450" t="s">
        <v>1345</v>
      </c>
      <c r="E14" s="450" t="s">
        <v>1345</v>
      </c>
      <c r="F14" s="450" t="s">
        <v>2071</v>
      </c>
      <c r="G14" s="450" t="s">
        <v>1345</v>
      </c>
      <c r="H14" s="450" t="s">
        <v>1343</v>
      </c>
      <c r="I14" s="450"/>
      <c r="J14" s="450"/>
      <c r="K14" s="639" t="s">
        <v>2074</v>
      </c>
      <c r="L14" s="640">
        <v>24696886022</v>
      </c>
      <c r="M14" s="641">
        <v>5210129174</v>
      </c>
      <c r="N14" s="641">
        <v>1258627410</v>
      </c>
      <c r="O14" s="642">
        <f>+L14+M14-N14</f>
        <v>28648387786</v>
      </c>
      <c r="P14" s="642">
        <v>15964394413</v>
      </c>
      <c r="Q14" s="642">
        <f>6049603609+5210129174</f>
        <v>11259732783</v>
      </c>
      <c r="R14" s="642"/>
      <c r="S14" s="642">
        <f>2682888000-1258627410</f>
        <v>1424260590</v>
      </c>
      <c r="T14" s="642">
        <v>25538004015</v>
      </c>
      <c r="U14" s="642">
        <v>22788247652</v>
      </c>
      <c r="V14" s="643">
        <f t="shared" si="2"/>
        <v>0.89232688813953887</v>
      </c>
      <c r="W14" s="644"/>
      <c r="X14" s="645">
        <f t="shared" si="3"/>
        <v>0.55725280362204321</v>
      </c>
      <c r="Y14" s="645">
        <f t="shared" si="3"/>
        <v>0.3930319872485965</v>
      </c>
      <c r="Z14" s="646">
        <f t="shared" si="3"/>
        <v>0</v>
      </c>
      <c r="AA14" s="645">
        <f t="shared" si="3"/>
        <v>4.9715209129360255E-2</v>
      </c>
    </row>
    <row r="15" spans="1:27" ht="22.5" customHeight="1" thickTop="1" thickBot="1" x14ac:dyDescent="0.3">
      <c r="A15" s="451">
        <v>1</v>
      </c>
      <c r="B15" s="451">
        <v>1</v>
      </c>
      <c r="C15" s="451">
        <v>1</v>
      </c>
      <c r="D15" s="450" t="s">
        <v>1345</v>
      </c>
      <c r="E15" s="450" t="s">
        <v>1345</v>
      </c>
      <c r="F15" s="450" t="s">
        <v>2071</v>
      </c>
      <c r="G15" s="450" t="s">
        <v>1345</v>
      </c>
      <c r="H15" s="450" t="s">
        <v>1413</v>
      </c>
      <c r="I15" s="450"/>
      <c r="J15" s="450"/>
      <c r="K15" s="639" t="s">
        <v>2075</v>
      </c>
      <c r="L15" s="641">
        <v>1963813332</v>
      </c>
      <c r="M15" s="641">
        <v>5700867444</v>
      </c>
      <c r="N15" s="641"/>
      <c r="O15" s="642">
        <f>+L15+M15-N15</f>
        <v>7664680776</v>
      </c>
      <c r="P15" s="642">
        <v>2280000000</v>
      </c>
      <c r="Q15" s="642">
        <f>+O15-P15</f>
        <v>5384680776</v>
      </c>
      <c r="R15" s="642"/>
      <c r="S15" s="642"/>
      <c r="T15" s="642">
        <v>7664680776</v>
      </c>
      <c r="U15" s="642">
        <v>9288656240</v>
      </c>
      <c r="V15" s="643">
        <f t="shared" si="2"/>
        <v>1.2118777691414189</v>
      </c>
      <c r="W15" s="644"/>
      <c r="X15" s="646">
        <f t="shared" si="3"/>
        <v>0.29746835734362748</v>
      </c>
      <c r="Y15" s="646">
        <f t="shared" si="3"/>
        <v>0.70253164265637247</v>
      </c>
      <c r="Z15" s="646">
        <f t="shared" si="3"/>
        <v>0</v>
      </c>
      <c r="AA15" s="646">
        <f t="shared" si="3"/>
        <v>0</v>
      </c>
    </row>
    <row r="16" spans="1:27" ht="22.5" hidden="1" customHeight="1" thickTop="1" thickBot="1" x14ac:dyDescent="0.3">
      <c r="A16" s="451">
        <v>1</v>
      </c>
      <c r="B16" s="451">
        <v>1</v>
      </c>
      <c r="C16" s="451">
        <v>1</v>
      </c>
      <c r="D16" s="450" t="s">
        <v>1345</v>
      </c>
      <c r="E16" s="450" t="s">
        <v>1345</v>
      </c>
      <c r="F16" s="450" t="s">
        <v>2071</v>
      </c>
      <c r="G16" s="450" t="s">
        <v>1345</v>
      </c>
      <c r="H16" s="450" t="s">
        <v>2076</v>
      </c>
      <c r="I16" s="450"/>
      <c r="J16" s="450"/>
      <c r="K16" s="647" t="s">
        <v>2077</v>
      </c>
      <c r="L16" s="641">
        <v>0</v>
      </c>
      <c r="M16" s="641"/>
      <c r="N16" s="641"/>
      <c r="O16" s="641">
        <f>+L16+M16-N16</f>
        <v>0</v>
      </c>
      <c r="P16" s="641"/>
      <c r="Q16" s="641"/>
      <c r="R16" s="641"/>
      <c r="S16" s="641"/>
      <c r="T16" s="641"/>
      <c r="U16" s="641">
        <v>0</v>
      </c>
      <c r="V16" s="648" t="e">
        <f t="shared" si="2"/>
        <v>#DIV/0!</v>
      </c>
      <c r="W16" s="644"/>
      <c r="X16" s="584" t="e">
        <f t="shared" si="3"/>
        <v>#DIV/0!</v>
      </c>
      <c r="Y16" s="584" t="e">
        <f t="shared" si="3"/>
        <v>#DIV/0!</v>
      </c>
      <c r="Z16" s="584" t="e">
        <f t="shared" si="3"/>
        <v>#DIV/0!</v>
      </c>
      <c r="AA16" s="584" t="e">
        <f t="shared" si="3"/>
        <v>#DIV/0!</v>
      </c>
    </row>
    <row r="17" spans="1:27" s="587" customFormat="1" ht="22.5" customHeight="1" thickTop="1" thickBot="1" x14ac:dyDescent="0.3">
      <c r="A17" s="633">
        <v>1</v>
      </c>
      <c r="B17" s="633">
        <v>1</v>
      </c>
      <c r="C17" s="633">
        <v>1</v>
      </c>
      <c r="D17" s="524" t="s">
        <v>1345</v>
      </c>
      <c r="E17" s="524" t="s">
        <v>1345</v>
      </c>
      <c r="F17" s="524" t="s">
        <v>2071</v>
      </c>
      <c r="G17" s="524" t="s">
        <v>1350</v>
      </c>
      <c r="H17" s="524"/>
      <c r="I17" s="524"/>
      <c r="J17" s="524"/>
      <c r="K17" s="634" t="s">
        <v>2078</v>
      </c>
      <c r="L17" s="635">
        <f>SUBTOTAL(9,L18:L20)</f>
        <v>22897665</v>
      </c>
      <c r="M17" s="635">
        <f>SUBTOTAL(9,M18:M20)</f>
        <v>0</v>
      </c>
      <c r="N17" s="635">
        <f t="shared" ref="N17:T17" si="9">SUBTOTAL(9,N18:N20)</f>
        <v>0</v>
      </c>
      <c r="O17" s="635">
        <f>SUBTOTAL(9,O18:O20)</f>
        <v>22897665</v>
      </c>
      <c r="P17" s="635">
        <f t="shared" si="9"/>
        <v>0</v>
      </c>
      <c r="Q17" s="635">
        <f t="shared" si="9"/>
        <v>22897665</v>
      </c>
      <c r="R17" s="635">
        <f t="shared" si="9"/>
        <v>0</v>
      </c>
      <c r="S17" s="635">
        <f t="shared" si="9"/>
        <v>0</v>
      </c>
      <c r="T17" s="635">
        <f t="shared" si="9"/>
        <v>238051585</v>
      </c>
      <c r="U17" s="649">
        <f>SUBTOTAL(9,U18:U25)</f>
        <v>232655859</v>
      </c>
      <c r="V17" s="636">
        <f t="shared" si="2"/>
        <v>0.97733379510999685</v>
      </c>
      <c r="W17" s="637"/>
      <c r="X17" s="638">
        <f t="shared" si="3"/>
        <v>0</v>
      </c>
      <c r="Y17" s="638">
        <f t="shared" si="3"/>
        <v>1</v>
      </c>
      <c r="Z17" s="638">
        <f t="shared" si="3"/>
        <v>0</v>
      </c>
      <c r="AA17" s="638">
        <f t="shared" si="3"/>
        <v>0</v>
      </c>
    </row>
    <row r="18" spans="1:27" ht="22.5" customHeight="1" thickTop="1" thickBot="1" x14ac:dyDescent="0.3">
      <c r="A18" s="451">
        <v>1</v>
      </c>
      <c r="B18" s="451">
        <v>1</v>
      </c>
      <c r="C18" s="451">
        <v>1</v>
      </c>
      <c r="D18" s="450" t="s">
        <v>1345</v>
      </c>
      <c r="E18" s="450" t="s">
        <v>1345</v>
      </c>
      <c r="F18" s="450" t="s">
        <v>2071</v>
      </c>
      <c r="G18" s="450" t="s">
        <v>1350</v>
      </c>
      <c r="H18" s="450" t="s">
        <v>1343</v>
      </c>
      <c r="I18" s="450"/>
      <c r="J18" s="450"/>
      <c r="K18" s="639" t="s">
        <v>2079</v>
      </c>
      <c r="L18" s="640">
        <v>22897665</v>
      </c>
      <c r="M18" s="641"/>
      <c r="N18" s="641"/>
      <c r="O18" s="642">
        <f>+L18+M18-N18</f>
        <v>22897665</v>
      </c>
      <c r="P18" s="642"/>
      <c r="Q18" s="642">
        <v>22897665</v>
      </c>
      <c r="R18" s="642"/>
      <c r="S18" s="642"/>
      <c r="T18" s="642">
        <v>238051585</v>
      </c>
      <c r="U18" s="642">
        <v>232655859</v>
      </c>
      <c r="V18" s="643"/>
      <c r="W18" s="644"/>
      <c r="X18" s="646">
        <f t="shared" si="3"/>
        <v>0</v>
      </c>
      <c r="Y18" s="646">
        <f t="shared" si="3"/>
        <v>1</v>
      </c>
      <c r="Z18" s="646">
        <f t="shared" si="3"/>
        <v>0</v>
      </c>
      <c r="AA18" s="646">
        <f t="shared" si="3"/>
        <v>0</v>
      </c>
    </row>
    <row r="19" spans="1:27" ht="22.5" hidden="1" customHeight="1" thickTop="1" thickBot="1" x14ac:dyDescent="0.3">
      <c r="A19" s="451">
        <v>1</v>
      </c>
      <c r="B19" s="451">
        <v>1</v>
      </c>
      <c r="C19" s="451">
        <v>1</v>
      </c>
      <c r="D19" s="450" t="s">
        <v>1345</v>
      </c>
      <c r="E19" s="450" t="s">
        <v>1345</v>
      </c>
      <c r="F19" s="450" t="s">
        <v>2071</v>
      </c>
      <c r="G19" s="450" t="s">
        <v>1350</v>
      </c>
      <c r="H19" s="450" t="s">
        <v>1413</v>
      </c>
      <c r="I19" s="450"/>
      <c r="J19" s="450"/>
      <c r="K19" s="647" t="s">
        <v>2080</v>
      </c>
      <c r="L19" s="641">
        <v>0</v>
      </c>
      <c r="M19" s="641"/>
      <c r="N19" s="641"/>
      <c r="O19" s="641">
        <f>+L19+M19-N19</f>
        <v>0</v>
      </c>
      <c r="P19" s="641"/>
      <c r="Q19" s="641"/>
      <c r="R19" s="641"/>
      <c r="S19" s="641"/>
      <c r="T19" s="641"/>
      <c r="U19" s="640"/>
      <c r="V19" s="648" t="e">
        <f t="shared" si="2"/>
        <v>#DIV/0!</v>
      </c>
      <c r="W19" s="644"/>
      <c r="X19" s="584" t="e">
        <f t="shared" si="3"/>
        <v>#DIV/0!</v>
      </c>
      <c r="Y19" s="584" t="e">
        <f t="shared" si="3"/>
        <v>#DIV/0!</v>
      </c>
      <c r="Z19" s="584" t="e">
        <f t="shared" si="3"/>
        <v>#DIV/0!</v>
      </c>
      <c r="AA19" s="584" t="e">
        <f t="shared" si="3"/>
        <v>#DIV/0!</v>
      </c>
    </row>
    <row r="20" spans="1:27" ht="22.5" hidden="1" customHeight="1" thickTop="1" thickBot="1" x14ac:dyDescent="0.3">
      <c r="A20" s="451">
        <v>1</v>
      </c>
      <c r="B20" s="451">
        <v>1</v>
      </c>
      <c r="C20" s="451">
        <v>1</v>
      </c>
      <c r="D20" s="450" t="s">
        <v>1345</v>
      </c>
      <c r="E20" s="450" t="s">
        <v>1345</v>
      </c>
      <c r="F20" s="450" t="s">
        <v>2071</v>
      </c>
      <c r="G20" s="450" t="s">
        <v>1350</v>
      </c>
      <c r="H20" s="450" t="s">
        <v>2076</v>
      </c>
      <c r="I20" s="450"/>
      <c r="J20" s="450"/>
      <c r="K20" s="647" t="s">
        <v>2081</v>
      </c>
      <c r="L20" s="641">
        <v>0</v>
      </c>
      <c r="M20" s="641"/>
      <c r="N20" s="641"/>
      <c r="O20" s="641">
        <f>+L20+M20-N20</f>
        <v>0</v>
      </c>
      <c r="P20" s="641"/>
      <c r="Q20" s="641"/>
      <c r="R20" s="641"/>
      <c r="S20" s="641"/>
      <c r="T20" s="641"/>
      <c r="U20" s="640"/>
      <c r="V20" s="648" t="e">
        <f t="shared" si="2"/>
        <v>#DIV/0!</v>
      </c>
      <c r="W20" s="644"/>
      <c r="X20" s="584" t="e">
        <f t="shared" si="3"/>
        <v>#DIV/0!</v>
      </c>
      <c r="Y20" s="584" t="e">
        <f t="shared" si="3"/>
        <v>#DIV/0!</v>
      </c>
      <c r="Z20" s="584" t="e">
        <f t="shared" si="3"/>
        <v>#DIV/0!</v>
      </c>
      <c r="AA20" s="584" t="e">
        <f t="shared" si="3"/>
        <v>#DIV/0!</v>
      </c>
    </row>
    <row r="21" spans="1:27" s="632" customFormat="1" ht="22.5" hidden="1" customHeight="1" thickTop="1" thickBot="1" x14ac:dyDescent="0.3">
      <c r="A21" s="626">
        <v>1</v>
      </c>
      <c r="B21" s="626">
        <v>1</v>
      </c>
      <c r="C21" s="626">
        <v>1</v>
      </c>
      <c r="D21" s="449" t="s">
        <v>1345</v>
      </c>
      <c r="E21" s="449" t="s">
        <v>1345</v>
      </c>
      <c r="F21" s="449" t="s">
        <v>2082</v>
      </c>
      <c r="G21" s="650"/>
      <c r="H21" s="449"/>
      <c r="I21" s="449"/>
      <c r="J21" s="449"/>
      <c r="K21" s="627" t="s">
        <v>2083</v>
      </c>
      <c r="L21" s="628">
        <f>SUBTOTAL(9,L22:L24)</f>
        <v>0</v>
      </c>
      <c r="M21" s="628">
        <f t="shared" ref="M21:U21" si="10">SUBTOTAL(9,M22:M24)</f>
        <v>0</v>
      </c>
      <c r="N21" s="628">
        <f t="shared" si="10"/>
        <v>0</v>
      </c>
      <c r="O21" s="628">
        <f t="shared" si="10"/>
        <v>0</v>
      </c>
      <c r="P21" s="628">
        <f t="shared" si="10"/>
        <v>0</v>
      </c>
      <c r="Q21" s="628">
        <f t="shared" si="10"/>
        <v>0</v>
      </c>
      <c r="R21" s="628">
        <f t="shared" si="10"/>
        <v>0</v>
      </c>
      <c r="S21" s="628">
        <f t="shared" si="10"/>
        <v>0</v>
      </c>
      <c r="T21" s="628">
        <f t="shared" si="10"/>
        <v>0</v>
      </c>
      <c r="U21" s="649">
        <f t="shared" si="10"/>
        <v>0</v>
      </c>
      <c r="V21" s="629" t="e">
        <f t="shared" si="2"/>
        <v>#DIV/0!</v>
      </c>
      <c r="W21" s="630"/>
      <c r="X21" s="632" t="e">
        <f t="shared" si="3"/>
        <v>#DIV/0!</v>
      </c>
      <c r="Y21" s="632" t="e">
        <f t="shared" si="3"/>
        <v>#DIV/0!</v>
      </c>
      <c r="Z21" s="632" t="e">
        <f t="shared" si="3"/>
        <v>#DIV/0!</v>
      </c>
      <c r="AA21" s="632" t="e">
        <f t="shared" si="3"/>
        <v>#DIV/0!</v>
      </c>
    </row>
    <row r="22" spans="1:27" ht="22.5" hidden="1" customHeight="1" thickTop="1" thickBot="1" x14ac:dyDescent="0.3">
      <c r="A22" s="451">
        <v>1</v>
      </c>
      <c r="B22" s="451">
        <v>1</v>
      </c>
      <c r="C22" s="451">
        <v>1</v>
      </c>
      <c r="D22" s="450" t="s">
        <v>1345</v>
      </c>
      <c r="E22" s="450" t="s">
        <v>1345</v>
      </c>
      <c r="F22" s="450" t="s">
        <v>2082</v>
      </c>
      <c r="G22" s="651">
        <v>1</v>
      </c>
      <c r="H22" s="450"/>
      <c r="I22" s="450"/>
      <c r="J22" s="450"/>
      <c r="K22" s="647" t="s">
        <v>2084</v>
      </c>
      <c r="L22" s="641">
        <v>0</v>
      </c>
      <c r="M22" s="641"/>
      <c r="N22" s="641"/>
      <c r="O22" s="641">
        <f>+L22+M22-N22</f>
        <v>0</v>
      </c>
      <c r="P22" s="641"/>
      <c r="Q22" s="641"/>
      <c r="R22" s="641"/>
      <c r="S22" s="641"/>
      <c r="T22" s="641"/>
      <c r="U22" s="640"/>
      <c r="V22" s="648" t="e">
        <f t="shared" si="2"/>
        <v>#DIV/0!</v>
      </c>
      <c r="W22" s="644"/>
      <c r="X22" s="584" t="e">
        <f t="shared" si="3"/>
        <v>#DIV/0!</v>
      </c>
      <c r="Y22" s="584" t="e">
        <f t="shared" si="3"/>
        <v>#DIV/0!</v>
      </c>
      <c r="Z22" s="584" t="e">
        <f t="shared" si="3"/>
        <v>#DIV/0!</v>
      </c>
      <c r="AA22" s="584" t="e">
        <f t="shared" si="3"/>
        <v>#DIV/0!</v>
      </c>
    </row>
    <row r="23" spans="1:27" ht="22.5" hidden="1" customHeight="1" thickTop="1" thickBot="1" x14ac:dyDescent="0.3">
      <c r="A23" s="451">
        <v>1</v>
      </c>
      <c r="B23" s="451">
        <v>1</v>
      </c>
      <c r="C23" s="451">
        <v>1</v>
      </c>
      <c r="D23" s="450" t="s">
        <v>1345</v>
      </c>
      <c r="E23" s="450" t="s">
        <v>1345</v>
      </c>
      <c r="F23" s="450" t="s">
        <v>2082</v>
      </c>
      <c r="G23" s="651">
        <v>2</v>
      </c>
      <c r="H23" s="450"/>
      <c r="I23" s="450"/>
      <c r="J23" s="450"/>
      <c r="K23" s="647" t="s">
        <v>2085</v>
      </c>
      <c r="L23" s="641">
        <v>0</v>
      </c>
      <c r="M23" s="641"/>
      <c r="N23" s="641"/>
      <c r="O23" s="641">
        <f>+L23+M23-N23</f>
        <v>0</v>
      </c>
      <c r="P23" s="641"/>
      <c r="Q23" s="641"/>
      <c r="R23" s="641"/>
      <c r="S23" s="641"/>
      <c r="T23" s="641"/>
      <c r="U23" s="640"/>
      <c r="V23" s="648" t="e">
        <f t="shared" si="2"/>
        <v>#DIV/0!</v>
      </c>
      <c r="W23" s="644"/>
      <c r="X23" s="584" t="e">
        <f t="shared" si="3"/>
        <v>#DIV/0!</v>
      </c>
      <c r="Y23" s="584" t="e">
        <f t="shared" si="3"/>
        <v>#DIV/0!</v>
      </c>
      <c r="Z23" s="584" t="e">
        <f t="shared" si="3"/>
        <v>#DIV/0!</v>
      </c>
      <c r="AA23" s="584" t="e">
        <f t="shared" si="3"/>
        <v>#DIV/0!</v>
      </c>
    </row>
    <row r="24" spans="1:27" ht="22.5" hidden="1" customHeight="1" thickTop="1" thickBot="1" x14ac:dyDescent="0.3">
      <c r="A24" s="451">
        <v>1</v>
      </c>
      <c r="B24" s="451">
        <v>1</v>
      </c>
      <c r="C24" s="451">
        <v>1</v>
      </c>
      <c r="D24" s="450" t="s">
        <v>1345</v>
      </c>
      <c r="E24" s="450" t="s">
        <v>1345</v>
      </c>
      <c r="F24" s="450" t="s">
        <v>2082</v>
      </c>
      <c r="G24" s="651">
        <v>3</v>
      </c>
      <c r="H24" s="450"/>
      <c r="I24" s="450"/>
      <c r="J24" s="450"/>
      <c r="K24" s="647" t="s">
        <v>2086</v>
      </c>
      <c r="L24" s="641">
        <v>0</v>
      </c>
      <c r="M24" s="641"/>
      <c r="N24" s="641"/>
      <c r="O24" s="641">
        <f>+L24+M24-N24</f>
        <v>0</v>
      </c>
      <c r="P24" s="641"/>
      <c r="Q24" s="641"/>
      <c r="R24" s="641"/>
      <c r="S24" s="641"/>
      <c r="T24" s="641"/>
      <c r="U24" s="640"/>
      <c r="V24" s="648" t="e">
        <f t="shared" si="2"/>
        <v>#DIV/0!</v>
      </c>
      <c r="W24" s="644"/>
      <c r="X24" s="584" t="e">
        <f t="shared" si="3"/>
        <v>#DIV/0!</v>
      </c>
      <c r="Y24" s="584" t="e">
        <f t="shared" si="3"/>
        <v>#DIV/0!</v>
      </c>
      <c r="Z24" s="584" t="e">
        <f t="shared" si="3"/>
        <v>#DIV/0!</v>
      </c>
      <c r="AA24" s="584" t="e">
        <f t="shared" si="3"/>
        <v>#DIV/0!</v>
      </c>
    </row>
    <row r="25" spans="1:27" ht="22.5" hidden="1" customHeight="1" thickTop="1" thickBot="1" x14ac:dyDescent="0.3">
      <c r="A25" s="451">
        <v>1</v>
      </c>
      <c r="B25" s="451">
        <v>1</v>
      </c>
      <c r="C25" s="451">
        <v>1</v>
      </c>
      <c r="D25" s="450" t="s">
        <v>1345</v>
      </c>
      <c r="E25" s="450" t="s">
        <v>1345</v>
      </c>
      <c r="F25" s="450" t="s">
        <v>2071</v>
      </c>
      <c r="G25" s="651">
        <v>2</v>
      </c>
      <c r="H25" s="450" t="s">
        <v>1413</v>
      </c>
      <c r="I25" s="450"/>
      <c r="J25" s="450"/>
      <c r="K25" s="647" t="s">
        <v>2080</v>
      </c>
      <c r="L25" s="641"/>
      <c r="M25" s="641"/>
      <c r="N25" s="641"/>
      <c r="O25" s="641"/>
      <c r="P25" s="641"/>
      <c r="Q25" s="641"/>
      <c r="R25" s="641"/>
      <c r="S25" s="641"/>
      <c r="T25" s="652"/>
      <c r="U25" s="652"/>
      <c r="V25" s="648"/>
      <c r="W25" s="644"/>
      <c r="X25" s="584" t="e">
        <f t="shared" si="3"/>
        <v>#DIV/0!</v>
      </c>
      <c r="Y25" s="584" t="e">
        <f t="shared" si="3"/>
        <v>#DIV/0!</v>
      </c>
      <c r="Z25" s="584" t="e">
        <f t="shared" si="3"/>
        <v>#DIV/0!</v>
      </c>
      <c r="AA25" s="584" t="e">
        <f t="shared" si="3"/>
        <v>#DIV/0!</v>
      </c>
    </row>
    <row r="26" spans="1:27" s="617" customFormat="1" ht="22.5" customHeight="1" thickTop="1" thickBot="1" x14ac:dyDescent="0.3">
      <c r="A26" s="611">
        <v>1</v>
      </c>
      <c r="B26" s="448" t="s">
        <v>1343</v>
      </c>
      <c r="C26" s="448" t="s">
        <v>1343</v>
      </c>
      <c r="D26" s="448" t="s">
        <v>1350</v>
      </c>
      <c r="E26" s="448"/>
      <c r="F26" s="448"/>
      <c r="G26" s="653"/>
      <c r="H26" s="448"/>
      <c r="I26" s="448"/>
      <c r="J26" s="448"/>
      <c r="K26" s="612" t="s">
        <v>2087</v>
      </c>
      <c r="L26" s="613">
        <f>+L27+L38+L79+L106+L192</f>
        <v>24885047926</v>
      </c>
      <c r="M26" s="613">
        <f t="shared" ref="M26:U26" si="11">+M27+M38+M79+M106+M192</f>
        <v>12730039806</v>
      </c>
      <c r="N26" s="613">
        <f t="shared" si="11"/>
        <v>0</v>
      </c>
      <c r="O26" s="613">
        <f t="shared" si="11"/>
        <v>37615087732</v>
      </c>
      <c r="P26" s="613">
        <f t="shared" si="11"/>
        <v>0</v>
      </c>
      <c r="Q26" s="613">
        <f t="shared" si="11"/>
        <v>36440402301</v>
      </c>
      <c r="R26" s="613">
        <f t="shared" si="11"/>
        <v>1174685431</v>
      </c>
      <c r="S26" s="613">
        <f t="shared" si="11"/>
        <v>0</v>
      </c>
      <c r="T26" s="613">
        <f t="shared" si="11"/>
        <v>34766464086</v>
      </c>
      <c r="U26" s="613">
        <f t="shared" si="11"/>
        <v>30541755465</v>
      </c>
      <c r="V26" s="614">
        <f t="shared" si="2"/>
        <v>0.8784832242200542</v>
      </c>
      <c r="W26" s="615"/>
      <c r="X26" s="616">
        <f t="shared" si="3"/>
        <v>0</v>
      </c>
      <c r="Y26" s="616">
        <f t="shared" si="3"/>
        <v>0.96877089748216461</v>
      </c>
      <c r="Z26" s="616">
        <f t="shared" si="3"/>
        <v>3.1229102517835384E-2</v>
      </c>
      <c r="AA26" s="616">
        <f t="shared" si="3"/>
        <v>0</v>
      </c>
    </row>
    <row r="27" spans="1:27" s="625" customFormat="1" ht="22.5" customHeight="1" thickTop="1" thickBot="1" x14ac:dyDescent="0.3">
      <c r="A27" s="618">
        <v>1</v>
      </c>
      <c r="B27" s="619" t="s">
        <v>1343</v>
      </c>
      <c r="C27" s="619" t="s">
        <v>1343</v>
      </c>
      <c r="D27" s="619" t="s">
        <v>1350</v>
      </c>
      <c r="E27" s="619" t="s">
        <v>1345</v>
      </c>
      <c r="F27" s="619"/>
      <c r="G27" s="654"/>
      <c r="H27" s="619"/>
      <c r="I27" s="619"/>
      <c r="J27" s="619"/>
      <c r="K27" s="620" t="s">
        <v>1351</v>
      </c>
      <c r="L27" s="621">
        <f>+L28</f>
        <v>902589355</v>
      </c>
      <c r="M27" s="621">
        <f t="shared" ref="M27:U28" si="12">+M28</f>
        <v>1954251011</v>
      </c>
      <c r="N27" s="621">
        <f t="shared" si="12"/>
        <v>0</v>
      </c>
      <c r="O27" s="621">
        <f t="shared" si="12"/>
        <v>2856840366</v>
      </c>
      <c r="P27" s="621">
        <f t="shared" si="12"/>
        <v>0</v>
      </c>
      <c r="Q27" s="621">
        <f t="shared" si="12"/>
        <v>2633487428</v>
      </c>
      <c r="R27" s="621">
        <f t="shared" si="12"/>
        <v>223352938.00000003</v>
      </c>
      <c r="S27" s="621">
        <f t="shared" si="12"/>
        <v>0</v>
      </c>
      <c r="T27" s="621">
        <f t="shared" si="12"/>
        <v>2833142822</v>
      </c>
      <c r="U27" s="621">
        <f t="shared" si="12"/>
        <v>2833142822</v>
      </c>
      <c r="V27" s="622">
        <f t="shared" si="2"/>
        <v>1</v>
      </c>
      <c r="W27" s="623"/>
      <c r="X27" s="624">
        <f t="shared" si="3"/>
        <v>0</v>
      </c>
      <c r="Y27" s="624">
        <f t="shared" si="3"/>
        <v>0.92181819444370028</v>
      </c>
      <c r="Z27" s="624">
        <f t="shared" si="3"/>
        <v>7.818180555629968E-2</v>
      </c>
      <c r="AA27" s="624">
        <f t="shared" si="3"/>
        <v>0</v>
      </c>
    </row>
    <row r="28" spans="1:27" s="632" customFormat="1" ht="22.5" customHeight="1" thickTop="1" thickBot="1" x14ac:dyDescent="0.3">
      <c r="A28" s="626">
        <v>1</v>
      </c>
      <c r="B28" s="449" t="s">
        <v>1343</v>
      </c>
      <c r="C28" s="449" t="s">
        <v>1343</v>
      </c>
      <c r="D28" s="449" t="s">
        <v>1350</v>
      </c>
      <c r="E28" s="449" t="s">
        <v>1345</v>
      </c>
      <c r="F28" s="449" t="s">
        <v>1358</v>
      </c>
      <c r="G28" s="650"/>
      <c r="H28" s="449"/>
      <c r="I28" s="449"/>
      <c r="J28" s="449"/>
      <c r="K28" s="627" t="s">
        <v>1352</v>
      </c>
      <c r="L28" s="628">
        <f>+L29</f>
        <v>902589355</v>
      </c>
      <c r="M28" s="628">
        <f t="shared" si="12"/>
        <v>1954251011</v>
      </c>
      <c r="N28" s="628">
        <f t="shared" si="12"/>
        <v>0</v>
      </c>
      <c r="O28" s="628">
        <f t="shared" si="12"/>
        <v>2856840366</v>
      </c>
      <c r="P28" s="628">
        <f t="shared" si="12"/>
        <v>0</v>
      </c>
      <c r="Q28" s="628">
        <f t="shared" si="12"/>
        <v>2633487428</v>
      </c>
      <c r="R28" s="628">
        <f t="shared" si="12"/>
        <v>223352938.00000003</v>
      </c>
      <c r="S28" s="628">
        <f t="shared" si="12"/>
        <v>0</v>
      </c>
      <c r="T28" s="628">
        <f t="shared" si="12"/>
        <v>2833142822</v>
      </c>
      <c r="U28" s="628">
        <f t="shared" si="12"/>
        <v>2833142822</v>
      </c>
      <c r="V28" s="629">
        <f t="shared" si="2"/>
        <v>1</v>
      </c>
      <c r="W28" s="630"/>
      <c r="X28" s="631">
        <f t="shared" si="3"/>
        <v>0</v>
      </c>
      <c r="Y28" s="631">
        <f t="shared" si="3"/>
        <v>0.92181819444370028</v>
      </c>
      <c r="Z28" s="631">
        <f t="shared" si="3"/>
        <v>7.818180555629968E-2</v>
      </c>
      <c r="AA28" s="631">
        <f t="shared" si="3"/>
        <v>0</v>
      </c>
    </row>
    <row r="29" spans="1:27" s="663" customFormat="1" ht="22.5" customHeight="1" thickTop="1" thickBot="1" x14ac:dyDescent="0.3">
      <c r="A29" s="655">
        <v>1</v>
      </c>
      <c r="B29" s="656" t="s">
        <v>1343</v>
      </c>
      <c r="C29" s="656" t="s">
        <v>1343</v>
      </c>
      <c r="D29" s="656" t="s">
        <v>1350</v>
      </c>
      <c r="E29" s="656" t="s">
        <v>1345</v>
      </c>
      <c r="F29" s="656" t="s">
        <v>1358</v>
      </c>
      <c r="G29" s="657">
        <v>64</v>
      </c>
      <c r="H29" s="656"/>
      <c r="I29" s="656"/>
      <c r="J29" s="656"/>
      <c r="K29" s="658" t="s">
        <v>1353</v>
      </c>
      <c r="L29" s="659">
        <f>+L30+L34</f>
        <v>902589355</v>
      </c>
      <c r="M29" s="659">
        <f t="shared" ref="M29:U29" si="13">+M30+M34</f>
        <v>1954251011</v>
      </c>
      <c r="N29" s="659">
        <f t="shared" si="13"/>
        <v>0</v>
      </c>
      <c r="O29" s="659">
        <f t="shared" si="13"/>
        <v>2856840366</v>
      </c>
      <c r="P29" s="659">
        <f t="shared" si="13"/>
        <v>0</v>
      </c>
      <c r="Q29" s="659">
        <f t="shared" si="13"/>
        <v>2633487428</v>
      </c>
      <c r="R29" s="659">
        <f t="shared" si="13"/>
        <v>223352938.00000003</v>
      </c>
      <c r="S29" s="659">
        <f t="shared" si="13"/>
        <v>0</v>
      </c>
      <c r="T29" s="659">
        <f t="shared" si="13"/>
        <v>2833142822</v>
      </c>
      <c r="U29" s="659">
        <f t="shared" si="13"/>
        <v>2833142822</v>
      </c>
      <c r="V29" s="660">
        <f t="shared" si="2"/>
        <v>1</v>
      </c>
      <c r="W29" s="661"/>
      <c r="X29" s="662">
        <f t="shared" si="3"/>
        <v>0</v>
      </c>
      <c r="Y29" s="662">
        <f t="shared" si="3"/>
        <v>0.92181819444370028</v>
      </c>
      <c r="Z29" s="662">
        <f t="shared" si="3"/>
        <v>7.818180555629968E-2</v>
      </c>
      <c r="AA29" s="662">
        <f t="shared" si="3"/>
        <v>0</v>
      </c>
    </row>
    <row r="30" spans="1:27" s="587" customFormat="1" ht="22.5" customHeight="1" thickTop="1" thickBot="1" x14ac:dyDescent="0.3">
      <c r="A30" s="633">
        <v>1</v>
      </c>
      <c r="B30" s="524" t="s">
        <v>1343</v>
      </c>
      <c r="C30" s="524" t="s">
        <v>1343</v>
      </c>
      <c r="D30" s="524" t="s">
        <v>1350</v>
      </c>
      <c r="E30" s="524" t="s">
        <v>1345</v>
      </c>
      <c r="F30" s="524" t="s">
        <v>1358</v>
      </c>
      <c r="G30" s="664">
        <v>64</v>
      </c>
      <c r="H30" s="524" t="s">
        <v>1345</v>
      </c>
      <c r="I30" s="524"/>
      <c r="J30" s="524"/>
      <c r="K30" s="634" t="s">
        <v>1861</v>
      </c>
      <c r="L30" s="635">
        <f>SUBTOTAL(9,L31:L33)</f>
        <v>902589355</v>
      </c>
      <c r="M30" s="635">
        <f t="shared" ref="M30:U30" si="14">SUBTOTAL(9,M31:M33)</f>
        <v>1954251011</v>
      </c>
      <c r="N30" s="635">
        <f t="shared" si="14"/>
        <v>0</v>
      </c>
      <c r="O30" s="635">
        <f>SUM(O31:O33)</f>
        <v>2856840366</v>
      </c>
      <c r="P30" s="635">
        <f>SUM(P31:P33)</f>
        <v>0</v>
      </c>
      <c r="Q30" s="635">
        <f>SUM(Q31:Q33)</f>
        <v>2633487428</v>
      </c>
      <c r="R30" s="635">
        <f>SUM(R31:R33)</f>
        <v>223352938.00000003</v>
      </c>
      <c r="S30" s="635">
        <f t="shared" si="14"/>
        <v>0</v>
      </c>
      <c r="T30" s="635">
        <f t="shared" si="14"/>
        <v>2833142822</v>
      </c>
      <c r="U30" s="635">
        <f t="shared" si="14"/>
        <v>2833142822</v>
      </c>
      <c r="V30" s="636">
        <f t="shared" si="2"/>
        <v>1</v>
      </c>
      <c r="W30" s="637"/>
      <c r="X30" s="638">
        <f t="shared" si="3"/>
        <v>0</v>
      </c>
      <c r="Y30" s="638">
        <f t="shared" si="3"/>
        <v>0.92181819444370028</v>
      </c>
      <c r="Z30" s="638">
        <f t="shared" si="3"/>
        <v>7.818180555629968E-2</v>
      </c>
      <c r="AA30" s="638">
        <f t="shared" si="3"/>
        <v>0</v>
      </c>
    </row>
    <row r="31" spans="1:27" ht="22.5" customHeight="1" thickTop="1" thickBot="1" x14ac:dyDescent="0.3">
      <c r="A31" s="451">
        <v>1</v>
      </c>
      <c r="B31" s="450" t="s">
        <v>1343</v>
      </c>
      <c r="C31" s="450" t="s">
        <v>1343</v>
      </c>
      <c r="D31" s="450" t="s">
        <v>1350</v>
      </c>
      <c r="E31" s="450" t="s">
        <v>1345</v>
      </c>
      <c r="F31" s="450" t="s">
        <v>1358</v>
      </c>
      <c r="G31" s="651">
        <v>64</v>
      </c>
      <c r="H31" s="450" t="s">
        <v>1345</v>
      </c>
      <c r="I31" s="450" t="s">
        <v>1343</v>
      </c>
      <c r="J31" s="450"/>
      <c r="K31" s="639" t="s">
        <v>2088</v>
      </c>
      <c r="L31" s="642">
        <v>902589355</v>
      </c>
      <c r="M31" s="642">
        <v>214175333</v>
      </c>
      <c r="N31" s="642">
        <v>0</v>
      </c>
      <c r="O31" s="642">
        <f>+L31+M31-N31</f>
        <v>1116764688</v>
      </c>
      <c r="P31" s="642"/>
      <c r="Q31" s="642">
        <f>722071484+171340266</f>
        <v>893411750</v>
      </c>
      <c r="R31" s="642">
        <f>+O31*20%+0.4</f>
        <v>223352938.00000003</v>
      </c>
      <c r="S31" s="642"/>
      <c r="T31" s="642">
        <v>1093067144</v>
      </c>
      <c r="U31" s="642">
        <v>1093067144</v>
      </c>
      <c r="V31" s="643">
        <f t="shared" si="2"/>
        <v>1</v>
      </c>
      <c r="W31" s="665"/>
      <c r="X31" s="666">
        <f t="shared" si="3"/>
        <v>0</v>
      </c>
      <c r="Y31" s="646">
        <f t="shared" si="3"/>
        <v>0.79999999964182245</v>
      </c>
      <c r="Z31" s="646">
        <f t="shared" si="3"/>
        <v>0.20000000035817755</v>
      </c>
      <c r="AA31" s="646">
        <f t="shared" si="3"/>
        <v>0</v>
      </c>
    </row>
    <row r="32" spans="1:27" ht="22.5" customHeight="1" thickTop="1" thickBot="1" x14ac:dyDescent="0.3">
      <c r="A32" s="451">
        <v>1</v>
      </c>
      <c r="B32" s="450" t="s">
        <v>1343</v>
      </c>
      <c r="C32" s="450" t="s">
        <v>1343</v>
      </c>
      <c r="D32" s="450" t="s">
        <v>1350</v>
      </c>
      <c r="E32" s="450" t="s">
        <v>1345</v>
      </c>
      <c r="F32" s="450" t="s">
        <v>1358</v>
      </c>
      <c r="G32" s="651">
        <v>64</v>
      </c>
      <c r="H32" s="450" t="s">
        <v>1345</v>
      </c>
      <c r="I32" s="450" t="s">
        <v>1413</v>
      </c>
      <c r="J32" s="450"/>
      <c r="K32" s="639" t="s">
        <v>2089</v>
      </c>
      <c r="L32" s="642">
        <v>0</v>
      </c>
      <c r="M32" s="642">
        <v>1740075678</v>
      </c>
      <c r="N32" s="642">
        <v>0</v>
      </c>
      <c r="O32" s="642">
        <f>+L32+M32-N32</f>
        <v>1740075678</v>
      </c>
      <c r="P32" s="642"/>
      <c r="Q32" s="642">
        <f>+O32</f>
        <v>1740075678</v>
      </c>
      <c r="R32" s="642">
        <v>0</v>
      </c>
      <c r="S32" s="642"/>
      <c r="T32" s="642">
        <f>+Q32+R32-S32</f>
        <v>1740075678</v>
      </c>
      <c r="U32" s="642">
        <v>1740075678</v>
      </c>
      <c r="V32" s="643">
        <f t="shared" si="2"/>
        <v>1</v>
      </c>
      <c r="W32" s="665"/>
      <c r="X32" s="666">
        <f t="shared" si="3"/>
        <v>0</v>
      </c>
      <c r="Y32" s="646">
        <f t="shared" si="3"/>
        <v>1</v>
      </c>
      <c r="Z32" s="646">
        <f t="shared" si="3"/>
        <v>0</v>
      </c>
      <c r="AA32" s="646">
        <f t="shared" si="3"/>
        <v>0</v>
      </c>
    </row>
    <row r="33" spans="1:27" ht="22.5" hidden="1" customHeight="1" thickTop="1" thickBot="1" x14ac:dyDescent="0.3">
      <c r="A33" s="451">
        <v>1</v>
      </c>
      <c r="B33" s="450" t="s">
        <v>1343</v>
      </c>
      <c r="C33" s="450" t="s">
        <v>1343</v>
      </c>
      <c r="D33" s="450" t="s">
        <v>1350</v>
      </c>
      <c r="E33" s="450" t="s">
        <v>1345</v>
      </c>
      <c r="F33" s="450" t="s">
        <v>1358</v>
      </c>
      <c r="G33" s="651">
        <v>64</v>
      </c>
      <c r="H33" s="450" t="s">
        <v>1345</v>
      </c>
      <c r="I33" s="450" t="s">
        <v>2076</v>
      </c>
      <c r="J33" s="450"/>
      <c r="K33" s="647" t="s">
        <v>2090</v>
      </c>
      <c r="L33" s="641">
        <v>0</v>
      </c>
      <c r="M33" s="641"/>
      <c r="N33" s="641"/>
      <c r="O33" s="641">
        <f>+L33+M33-N33</f>
        <v>0</v>
      </c>
      <c r="P33" s="641"/>
      <c r="Q33" s="641"/>
      <c r="R33" s="641"/>
      <c r="S33" s="641"/>
      <c r="T33" s="641"/>
      <c r="U33" s="641"/>
      <c r="V33" s="648" t="e">
        <f t="shared" si="2"/>
        <v>#DIV/0!</v>
      </c>
      <c r="W33" s="644"/>
      <c r="X33" s="584" t="e">
        <f t="shared" si="3"/>
        <v>#DIV/0!</v>
      </c>
      <c r="Y33" s="584" t="e">
        <f t="shared" si="3"/>
        <v>#DIV/0!</v>
      </c>
      <c r="Z33" s="584" t="e">
        <f t="shared" si="3"/>
        <v>#DIV/0!</v>
      </c>
      <c r="AA33" s="584" t="e">
        <f t="shared" si="3"/>
        <v>#DIV/0!</v>
      </c>
    </row>
    <row r="34" spans="1:27" s="587" customFormat="1" ht="22.5" hidden="1" customHeight="1" thickTop="1" thickBot="1" x14ac:dyDescent="0.3">
      <c r="A34" s="633">
        <v>1</v>
      </c>
      <c r="B34" s="524" t="s">
        <v>1343</v>
      </c>
      <c r="C34" s="524" t="s">
        <v>1343</v>
      </c>
      <c r="D34" s="524" t="s">
        <v>1350</v>
      </c>
      <c r="E34" s="524" t="s">
        <v>1345</v>
      </c>
      <c r="F34" s="524" t="s">
        <v>1358</v>
      </c>
      <c r="G34" s="664">
        <v>64</v>
      </c>
      <c r="H34" s="524" t="s">
        <v>1350</v>
      </c>
      <c r="I34" s="524"/>
      <c r="J34" s="524"/>
      <c r="K34" s="634" t="s">
        <v>1862</v>
      </c>
      <c r="L34" s="635">
        <f>SUBTOTAL(9,L35:L37)</f>
        <v>0</v>
      </c>
      <c r="M34" s="635">
        <f t="shared" ref="M34:U34" si="15">SUBTOTAL(9,M35:M37)</f>
        <v>0</v>
      </c>
      <c r="N34" s="635">
        <f t="shared" si="15"/>
        <v>0</v>
      </c>
      <c r="O34" s="635">
        <f t="shared" si="15"/>
        <v>0</v>
      </c>
      <c r="P34" s="635">
        <f t="shared" si="15"/>
        <v>0</v>
      </c>
      <c r="Q34" s="635">
        <f t="shared" si="15"/>
        <v>0</v>
      </c>
      <c r="R34" s="635">
        <f t="shared" si="15"/>
        <v>0</v>
      </c>
      <c r="S34" s="635">
        <f t="shared" si="15"/>
        <v>0</v>
      </c>
      <c r="T34" s="635">
        <f t="shared" si="15"/>
        <v>0</v>
      </c>
      <c r="U34" s="635">
        <f t="shared" si="15"/>
        <v>0</v>
      </c>
      <c r="V34" s="636" t="e">
        <f t="shared" si="2"/>
        <v>#DIV/0!</v>
      </c>
      <c r="W34" s="637"/>
      <c r="X34" s="587" t="e">
        <f t="shared" si="3"/>
        <v>#DIV/0!</v>
      </c>
      <c r="Y34" s="587" t="e">
        <f t="shared" si="3"/>
        <v>#DIV/0!</v>
      </c>
      <c r="Z34" s="587" t="e">
        <f t="shared" si="3"/>
        <v>#DIV/0!</v>
      </c>
      <c r="AA34" s="587" t="e">
        <f t="shared" si="3"/>
        <v>#DIV/0!</v>
      </c>
    </row>
    <row r="35" spans="1:27" ht="22.5" hidden="1" customHeight="1" thickTop="1" thickBot="1" x14ac:dyDescent="0.3">
      <c r="A35" s="451">
        <v>1</v>
      </c>
      <c r="B35" s="450" t="s">
        <v>1343</v>
      </c>
      <c r="C35" s="450" t="s">
        <v>1343</v>
      </c>
      <c r="D35" s="450" t="s">
        <v>1350</v>
      </c>
      <c r="E35" s="450" t="s">
        <v>1345</v>
      </c>
      <c r="F35" s="450" t="s">
        <v>1358</v>
      </c>
      <c r="G35" s="651">
        <v>64</v>
      </c>
      <c r="H35" s="450" t="s">
        <v>1350</v>
      </c>
      <c r="I35" s="450" t="s">
        <v>1343</v>
      </c>
      <c r="J35" s="450"/>
      <c r="K35" s="647" t="s">
        <v>2091</v>
      </c>
      <c r="L35" s="667">
        <v>0</v>
      </c>
      <c r="M35" s="641"/>
      <c r="N35" s="641"/>
      <c r="O35" s="641">
        <f>+L35+M35-N35</f>
        <v>0</v>
      </c>
      <c r="P35" s="641">
        <f>+O35*10%</f>
        <v>0</v>
      </c>
      <c r="Q35" s="641">
        <f>+O35*70%</f>
        <v>0</v>
      </c>
      <c r="R35" s="641">
        <f>+O35*20%</f>
        <v>0</v>
      </c>
      <c r="S35" s="641"/>
      <c r="T35" s="641"/>
      <c r="U35" s="667"/>
      <c r="V35" s="648" t="e">
        <f t="shared" si="2"/>
        <v>#DIV/0!</v>
      </c>
      <c r="W35" s="644"/>
      <c r="X35" s="584" t="e">
        <f t="shared" si="3"/>
        <v>#DIV/0!</v>
      </c>
      <c r="Y35" s="584" t="e">
        <f t="shared" si="3"/>
        <v>#DIV/0!</v>
      </c>
      <c r="Z35" s="584" t="e">
        <f t="shared" si="3"/>
        <v>#DIV/0!</v>
      </c>
      <c r="AA35" s="584" t="e">
        <f t="shared" si="3"/>
        <v>#DIV/0!</v>
      </c>
    </row>
    <row r="36" spans="1:27" ht="22.5" hidden="1" customHeight="1" thickTop="1" thickBot="1" x14ac:dyDescent="0.3">
      <c r="A36" s="451">
        <v>1</v>
      </c>
      <c r="B36" s="450" t="s">
        <v>1343</v>
      </c>
      <c r="C36" s="450" t="s">
        <v>1343</v>
      </c>
      <c r="D36" s="450" t="s">
        <v>1350</v>
      </c>
      <c r="E36" s="450" t="s">
        <v>1345</v>
      </c>
      <c r="F36" s="450" t="s">
        <v>1358</v>
      </c>
      <c r="G36" s="651">
        <v>64</v>
      </c>
      <c r="H36" s="450" t="s">
        <v>1350</v>
      </c>
      <c r="I36" s="450" t="s">
        <v>1413</v>
      </c>
      <c r="J36" s="450"/>
      <c r="K36" s="647" t="s">
        <v>2092</v>
      </c>
      <c r="L36" s="667">
        <v>0</v>
      </c>
      <c r="M36" s="641"/>
      <c r="N36" s="641"/>
      <c r="O36" s="641">
        <f>+L36+M36-N36</f>
        <v>0</v>
      </c>
      <c r="P36" s="641">
        <f>+O36*10%</f>
        <v>0</v>
      </c>
      <c r="Q36" s="641">
        <f>+O36*70%</f>
        <v>0</v>
      </c>
      <c r="R36" s="641">
        <f>+O36*20%</f>
        <v>0</v>
      </c>
      <c r="S36" s="641"/>
      <c r="T36" s="641"/>
      <c r="U36" s="667"/>
      <c r="V36" s="648" t="e">
        <f t="shared" si="2"/>
        <v>#DIV/0!</v>
      </c>
      <c r="W36" s="644"/>
      <c r="X36" s="584" t="e">
        <f t="shared" si="3"/>
        <v>#DIV/0!</v>
      </c>
      <c r="Y36" s="584" t="e">
        <f t="shared" si="3"/>
        <v>#DIV/0!</v>
      </c>
      <c r="Z36" s="584" t="e">
        <f t="shared" si="3"/>
        <v>#DIV/0!</v>
      </c>
      <c r="AA36" s="584" t="e">
        <f t="shared" si="3"/>
        <v>#DIV/0!</v>
      </c>
    </row>
    <row r="37" spans="1:27" ht="22.5" hidden="1" customHeight="1" thickTop="1" thickBot="1" x14ac:dyDescent="0.3">
      <c r="A37" s="451">
        <v>1</v>
      </c>
      <c r="B37" s="450" t="s">
        <v>1343</v>
      </c>
      <c r="C37" s="450" t="s">
        <v>1343</v>
      </c>
      <c r="D37" s="450" t="s">
        <v>1350</v>
      </c>
      <c r="E37" s="450" t="s">
        <v>1345</v>
      </c>
      <c r="F37" s="450" t="s">
        <v>1358</v>
      </c>
      <c r="G37" s="651">
        <v>64</v>
      </c>
      <c r="H37" s="450" t="s">
        <v>1350</v>
      </c>
      <c r="I37" s="450" t="s">
        <v>2076</v>
      </c>
      <c r="J37" s="450"/>
      <c r="K37" s="647" t="s">
        <v>2093</v>
      </c>
      <c r="L37" s="641">
        <v>0</v>
      </c>
      <c r="M37" s="641"/>
      <c r="N37" s="641"/>
      <c r="O37" s="641">
        <f>+L37+M37-N37</f>
        <v>0</v>
      </c>
      <c r="P37" s="641"/>
      <c r="Q37" s="641"/>
      <c r="R37" s="641"/>
      <c r="S37" s="641"/>
      <c r="T37" s="641"/>
      <c r="U37" s="641"/>
      <c r="V37" s="648" t="e">
        <f t="shared" si="2"/>
        <v>#DIV/0!</v>
      </c>
      <c r="W37" s="644"/>
      <c r="X37" s="584" t="e">
        <f t="shared" si="3"/>
        <v>#DIV/0!</v>
      </c>
      <c r="Y37" s="584" t="e">
        <f t="shared" si="3"/>
        <v>#DIV/0!</v>
      </c>
      <c r="Z37" s="584" t="e">
        <f t="shared" si="3"/>
        <v>#DIV/0!</v>
      </c>
      <c r="AA37" s="584" t="e">
        <f t="shared" si="3"/>
        <v>#DIV/0!</v>
      </c>
    </row>
    <row r="38" spans="1:27" s="625" customFormat="1" ht="22.5" customHeight="1" thickTop="1" thickBot="1" x14ac:dyDescent="0.3">
      <c r="A38" s="618">
        <v>1</v>
      </c>
      <c r="B38" s="619" t="s">
        <v>1343</v>
      </c>
      <c r="C38" s="619" t="s">
        <v>1343</v>
      </c>
      <c r="D38" s="619" t="s">
        <v>1350</v>
      </c>
      <c r="E38" s="619" t="s">
        <v>1350</v>
      </c>
      <c r="F38" s="619"/>
      <c r="G38" s="654"/>
      <c r="H38" s="619"/>
      <c r="I38" s="619"/>
      <c r="J38" s="619"/>
      <c r="K38" s="620" t="s">
        <v>2094</v>
      </c>
      <c r="L38" s="621">
        <f>+L39+L43+L47+L51+L55+L59+L63+L67+L71+L75</f>
        <v>23184797038</v>
      </c>
      <c r="M38" s="621">
        <f t="shared" ref="M38:U38" si="16">+M39+M43+M47+M51+M55+M59+M63+M67+M71+M75</f>
        <v>2955223891</v>
      </c>
      <c r="N38" s="621">
        <f t="shared" si="16"/>
        <v>0</v>
      </c>
      <c r="O38" s="621">
        <f t="shared" si="16"/>
        <v>26140020929</v>
      </c>
      <c r="P38" s="621">
        <f t="shared" si="16"/>
        <v>0</v>
      </c>
      <c r="Q38" s="621">
        <f t="shared" si="16"/>
        <v>25196290082</v>
      </c>
      <c r="R38" s="621">
        <f t="shared" si="16"/>
        <v>943730847</v>
      </c>
      <c r="S38" s="621">
        <f t="shared" si="16"/>
        <v>0</v>
      </c>
      <c r="T38" s="621">
        <f t="shared" si="16"/>
        <v>31352675187</v>
      </c>
      <c r="U38" s="621">
        <f t="shared" si="16"/>
        <v>21271057838</v>
      </c>
      <c r="V38" s="622">
        <f t="shared" si="2"/>
        <v>0.67844474868989113</v>
      </c>
      <c r="W38" s="623"/>
      <c r="X38" s="624">
        <f t="shared" si="3"/>
        <v>0</v>
      </c>
      <c r="Y38" s="624">
        <f t="shared" si="3"/>
        <v>0.96389708908178362</v>
      </c>
      <c r="Z38" s="624">
        <f t="shared" si="3"/>
        <v>3.6102910918216428E-2</v>
      </c>
      <c r="AA38" s="624">
        <f t="shared" si="3"/>
        <v>0</v>
      </c>
    </row>
    <row r="39" spans="1:27" s="632" customFormat="1" ht="22.5" hidden="1" customHeight="1" thickTop="1" thickBot="1" x14ac:dyDescent="0.3">
      <c r="A39" s="626">
        <v>1</v>
      </c>
      <c r="B39" s="449" t="s">
        <v>1343</v>
      </c>
      <c r="C39" s="449" t="s">
        <v>1343</v>
      </c>
      <c r="D39" s="449" t="s">
        <v>1350</v>
      </c>
      <c r="E39" s="449" t="s">
        <v>1350</v>
      </c>
      <c r="F39" s="449" t="s">
        <v>2095</v>
      </c>
      <c r="G39" s="650"/>
      <c r="H39" s="449"/>
      <c r="I39" s="449"/>
      <c r="J39" s="449"/>
      <c r="K39" s="627" t="s">
        <v>2096</v>
      </c>
      <c r="L39" s="628">
        <f>SUBTOTAL(9,L40:L42)</f>
        <v>0</v>
      </c>
      <c r="M39" s="628">
        <f t="shared" ref="M39:U39" si="17">SUBTOTAL(9,M40:M42)</f>
        <v>0</v>
      </c>
      <c r="N39" s="628">
        <f t="shared" si="17"/>
        <v>0</v>
      </c>
      <c r="O39" s="628">
        <f t="shared" si="17"/>
        <v>0</v>
      </c>
      <c r="P39" s="628">
        <f t="shared" si="17"/>
        <v>0</v>
      </c>
      <c r="Q39" s="628">
        <f t="shared" si="17"/>
        <v>0</v>
      </c>
      <c r="R39" s="628">
        <f t="shared" si="17"/>
        <v>0</v>
      </c>
      <c r="S39" s="628">
        <f t="shared" si="17"/>
        <v>0</v>
      </c>
      <c r="T39" s="628">
        <f t="shared" si="17"/>
        <v>0</v>
      </c>
      <c r="U39" s="628">
        <f t="shared" si="17"/>
        <v>0</v>
      </c>
      <c r="V39" s="629" t="e">
        <f t="shared" si="2"/>
        <v>#DIV/0!</v>
      </c>
      <c r="W39" s="630"/>
      <c r="X39" s="632" t="e">
        <f t="shared" si="3"/>
        <v>#DIV/0!</v>
      </c>
      <c r="Y39" s="632" t="e">
        <f t="shared" si="3"/>
        <v>#DIV/0!</v>
      </c>
      <c r="Z39" s="632" t="e">
        <f t="shared" si="3"/>
        <v>#DIV/0!</v>
      </c>
      <c r="AA39" s="632" t="e">
        <f t="shared" si="3"/>
        <v>#DIV/0!</v>
      </c>
    </row>
    <row r="40" spans="1:27" ht="22.5" hidden="1" customHeight="1" thickTop="1" thickBot="1" x14ac:dyDescent="0.3">
      <c r="A40" s="451">
        <v>1</v>
      </c>
      <c r="B40" s="450" t="s">
        <v>1343</v>
      </c>
      <c r="C40" s="450" t="s">
        <v>1343</v>
      </c>
      <c r="D40" s="450" t="s">
        <v>1350</v>
      </c>
      <c r="E40" s="450" t="s">
        <v>1350</v>
      </c>
      <c r="F40" s="450" t="s">
        <v>2095</v>
      </c>
      <c r="G40" s="651">
        <v>1</v>
      </c>
      <c r="H40" s="450"/>
      <c r="I40" s="450"/>
      <c r="J40" s="450"/>
      <c r="K40" s="647" t="s">
        <v>2097</v>
      </c>
      <c r="L40" s="641">
        <v>0</v>
      </c>
      <c r="M40" s="641"/>
      <c r="N40" s="641"/>
      <c r="O40" s="641">
        <f>+L40+M40-N40</f>
        <v>0</v>
      </c>
      <c r="P40" s="641"/>
      <c r="Q40" s="641"/>
      <c r="R40" s="641"/>
      <c r="S40" s="641"/>
      <c r="T40" s="641"/>
      <c r="U40" s="641"/>
      <c r="V40" s="648" t="e">
        <f t="shared" si="2"/>
        <v>#DIV/0!</v>
      </c>
      <c r="W40" s="644"/>
      <c r="X40" s="584" t="e">
        <f t="shared" si="3"/>
        <v>#DIV/0!</v>
      </c>
      <c r="Y40" s="584" t="e">
        <f t="shared" si="3"/>
        <v>#DIV/0!</v>
      </c>
      <c r="Z40" s="584" t="e">
        <f t="shared" si="3"/>
        <v>#DIV/0!</v>
      </c>
      <c r="AA40" s="584" t="e">
        <f t="shared" si="3"/>
        <v>#DIV/0!</v>
      </c>
    </row>
    <row r="41" spans="1:27" ht="22.5" hidden="1" customHeight="1" thickTop="1" thickBot="1" x14ac:dyDescent="0.3">
      <c r="A41" s="451">
        <v>1</v>
      </c>
      <c r="B41" s="450" t="s">
        <v>1343</v>
      </c>
      <c r="C41" s="450" t="s">
        <v>1343</v>
      </c>
      <c r="D41" s="450" t="s">
        <v>1350</v>
      </c>
      <c r="E41" s="450" t="s">
        <v>1350</v>
      </c>
      <c r="F41" s="450" t="s">
        <v>2095</v>
      </c>
      <c r="G41" s="651">
        <v>2</v>
      </c>
      <c r="H41" s="450"/>
      <c r="I41" s="450"/>
      <c r="J41" s="450"/>
      <c r="K41" s="647" t="s">
        <v>2098</v>
      </c>
      <c r="L41" s="641">
        <v>0</v>
      </c>
      <c r="M41" s="641"/>
      <c r="N41" s="641"/>
      <c r="O41" s="641">
        <f>+L41+M41-N41</f>
        <v>0</v>
      </c>
      <c r="P41" s="641"/>
      <c r="Q41" s="641"/>
      <c r="R41" s="641"/>
      <c r="S41" s="641"/>
      <c r="T41" s="641"/>
      <c r="U41" s="641"/>
      <c r="V41" s="648" t="e">
        <f t="shared" si="2"/>
        <v>#DIV/0!</v>
      </c>
      <c r="W41" s="644"/>
      <c r="X41" s="584" t="e">
        <f t="shared" si="3"/>
        <v>#DIV/0!</v>
      </c>
      <c r="Y41" s="584" t="e">
        <f t="shared" si="3"/>
        <v>#DIV/0!</v>
      </c>
      <c r="Z41" s="584" t="e">
        <f t="shared" si="3"/>
        <v>#DIV/0!</v>
      </c>
      <c r="AA41" s="584" t="e">
        <f t="shared" si="3"/>
        <v>#DIV/0!</v>
      </c>
    </row>
    <row r="42" spans="1:27" ht="22.5" hidden="1" customHeight="1" thickTop="1" thickBot="1" x14ac:dyDescent="0.3">
      <c r="A42" s="451">
        <v>1</v>
      </c>
      <c r="B42" s="450" t="s">
        <v>1343</v>
      </c>
      <c r="C42" s="450" t="s">
        <v>1343</v>
      </c>
      <c r="D42" s="450" t="s">
        <v>1350</v>
      </c>
      <c r="E42" s="450" t="s">
        <v>1350</v>
      </c>
      <c r="F42" s="450" t="s">
        <v>2095</v>
      </c>
      <c r="G42" s="651">
        <v>3</v>
      </c>
      <c r="H42" s="450"/>
      <c r="I42" s="450"/>
      <c r="J42" s="450"/>
      <c r="K42" s="647" t="s">
        <v>2099</v>
      </c>
      <c r="L42" s="641">
        <v>0</v>
      </c>
      <c r="M42" s="641"/>
      <c r="N42" s="641"/>
      <c r="O42" s="641">
        <f>+L42+M42-N42</f>
        <v>0</v>
      </c>
      <c r="P42" s="641"/>
      <c r="Q42" s="641"/>
      <c r="R42" s="641"/>
      <c r="S42" s="641"/>
      <c r="T42" s="641"/>
      <c r="U42" s="641"/>
      <c r="V42" s="648" t="e">
        <f t="shared" si="2"/>
        <v>#DIV/0!</v>
      </c>
      <c r="W42" s="644"/>
      <c r="X42" s="584" t="e">
        <f t="shared" si="3"/>
        <v>#DIV/0!</v>
      </c>
      <c r="Y42" s="584" t="e">
        <f t="shared" si="3"/>
        <v>#DIV/0!</v>
      </c>
      <c r="Z42" s="584" t="e">
        <f t="shared" si="3"/>
        <v>#DIV/0!</v>
      </c>
      <c r="AA42" s="584" t="e">
        <f t="shared" si="3"/>
        <v>#DIV/0!</v>
      </c>
    </row>
    <row r="43" spans="1:27" s="632" customFormat="1" ht="22.5" customHeight="1" thickTop="1" thickBot="1" x14ac:dyDescent="0.3">
      <c r="A43" s="626">
        <v>1</v>
      </c>
      <c r="B43" s="449" t="s">
        <v>1343</v>
      </c>
      <c r="C43" s="449" t="s">
        <v>1343</v>
      </c>
      <c r="D43" s="449" t="s">
        <v>1350</v>
      </c>
      <c r="E43" s="449" t="s">
        <v>1350</v>
      </c>
      <c r="F43" s="449" t="s">
        <v>2100</v>
      </c>
      <c r="G43" s="650"/>
      <c r="H43" s="449"/>
      <c r="I43" s="449"/>
      <c r="J43" s="449"/>
      <c r="K43" s="627" t="s">
        <v>1865</v>
      </c>
      <c r="L43" s="628">
        <f>SUM(L44:L46)</f>
        <v>860592928</v>
      </c>
      <c r="M43" s="628">
        <f>SUM(M44:M46)</f>
        <v>113747552</v>
      </c>
      <c r="N43" s="628">
        <f>SUM(N44:N46)</f>
        <v>0</v>
      </c>
      <c r="O43" s="628">
        <f>SUM(O44:O46)</f>
        <v>974340480</v>
      </c>
      <c r="P43" s="628">
        <f t="shared" ref="P43:U43" si="18">SUBTOTAL(9,P44:P46)</f>
        <v>0</v>
      </c>
      <c r="Q43" s="628">
        <f t="shared" si="18"/>
        <v>876906432</v>
      </c>
      <c r="R43" s="628">
        <f t="shared" si="18"/>
        <v>97434048</v>
      </c>
      <c r="S43" s="628">
        <f t="shared" si="18"/>
        <v>0</v>
      </c>
      <c r="T43" s="628">
        <f t="shared" si="18"/>
        <v>1166982372</v>
      </c>
      <c r="U43" s="628">
        <f t="shared" si="18"/>
        <v>1096436067</v>
      </c>
      <c r="V43" s="629">
        <f t="shared" si="2"/>
        <v>0.93954809713269605</v>
      </c>
      <c r="W43" s="630"/>
      <c r="X43" s="631">
        <f t="shared" si="3"/>
        <v>0</v>
      </c>
      <c r="Y43" s="631">
        <f t="shared" si="3"/>
        <v>0.9</v>
      </c>
      <c r="Z43" s="631">
        <f t="shared" si="3"/>
        <v>0.1</v>
      </c>
      <c r="AA43" s="631">
        <f t="shared" si="3"/>
        <v>0</v>
      </c>
    </row>
    <row r="44" spans="1:27" ht="22.5" customHeight="1" thickTop="1" thickBot="1" x14ac:dyDescent="0.3">
      <c r="A44" s="451">
        <v>1</v>
      </c>
      <c r="B44" s="450" t="s">
        <v>1343</v>
      </c>
      <c r="C44" s="450" t="s">
        <v>1343</v>
      </c>
      <c r="D44" s="450" t="s">
        <v>1350</v>
      </c>
      <c r="E44" s="450" t="s">
        <v>1350</v>
      </c>
      <c r="F44" s="450" t="s">
        <v>2100</v>
      </c>
      <c r="G44" s="651">
        <v>1</v>
      </c>
      <c r="H44" s="450"/>
      <c r="I44" s="450"/>
      <c r="J44" s="450"/>
      <c r="K44" s="639" t="s">
        <v>2101</v>
      </c>
      <c r="L44" s="642">
        <v>860592928</v>
      </c>
      <c r="M44" s="642">
        <v>113747552</v>
      </c>
      <c r="N44" s="642">
        <v>0</v>
      </c>
      <c r="O44" s="642">
        <f>+L44+M44-N44</f>
        <v>974340480</v>
      </c>
      <c r="P44" s="642"/>
      <c r="Q44" s="642">
        <f>+O44-R44</f>
        <v>876906432</v>
      </c>
      <c r="R44" s="642">
        <f>+O44*10%</f>
        <v>97434048</v>
      </c>
      <c r="S44" s="642">
        <f>+O44-Q44-R44</f>
        <v>0</v>
      </c>
      <c r="T44" s="668">
        <v>1166982372</v>
      </c>
      <c r="U44" s="668">
        <v>1096436067</v>
      </c>
      <c r="V44" s="643">
        <f t="shared" si="2"/>
        <v>0.93954809713269605</v>
      </c>
      <c r="W44" s="665"/>
      <c r="X44" s="666">
        <f t="shared" si="3"/>
        <v>0</v>
      </c>
      <c r="Y44" s="646">
        <f t="shared" si="3"/>
        <v>0.9</v>
      </c>
      <c r="Z44" s="646">
        <f t="shared" si="3"/>
        <v>0.1</v>
      </c>
      <c r="AA44" s="646">
        <f t="shared" si="3"/>
        <v>0</v>
      </c>
    </row>
    <row r="45" spans="1:27" ht="22.5" hidden="1" customHeight="1" thickTop="1" thickBot="1" x14ac:dyDescent="0.3">
      <c r="A45" s="451">
        <v>1</v>
      </c>
      <c r="B45" s="450" t="s">
        <v>1343</v>
      </c>
      <c r="C45" s="450" t="s">
        <v>1343</v>
      </c>
      <c r="D45" s="450" t="s">
        <v>1350</v>
      </c>
      <c r="E45" s="450" t="s">
        <v>1350</v>
      </c>
      <c r="F45" s="450" t="s">
        <v>2100</v>
      </c>
      <c r="G45" s="651">
        <v>2</v>
      </c>
      <c r="H45" s="450"/>
      <c r="I45" s="450"/>
      <c r="J45" s="450"/>
      <c r="K45" s="647" t="s">
        <v>2102</v>
      </c>
      <c r="L45" s="641">
        <v>0</v>
      </c>
      <c r="M45" s="641"/>
      <c r="N45" s="641"/>
      <c r="O45" s="641">
        <f>+L45+M45-N45</f>
        <v>0</v>
      </c>
      <c r="P45" s="641">
        <f>+O45*90%</f>
        <v>0</v>
      </c>
      <c r="Q45" s="641"/>
      <c r="R45" s="641">
        <f>+O45*10%</f>
        <v>0</v>
      </c>
      <c r="S45" s="641"/>
      <c r="T45" s="669"/>
      <c r="U45" s="641"/>
      <c r="V45" s="648" t="e">
        <f t="shared" si="2"/>
        <v>#DIV/0!</v>
      </c>
      <c r="W45" s="644"/>
      <c r="X45" s="584" t="e">
        <f t="shared" si="3"/>
        <v>#DIV/0!</v>
      </c>
      <c r="Y45" s="584" t="e">
        <f t="shared" si="3"/>
        <v>#DIV/0!</v>
      </c>
      <c r="Z45" s="584" t="e">
        <f t="shared" si="3"/>
        <v>#DIV/0!</v>
      </c>
      <c r="AA45" s="584" t="e">
        <f t="shared" si="3"/>
        <v>#DIV/0!</v>
      </c>
    </row>
    <row r="46" spans="1:27" ht="22.5" hidden="1" customHeight="1" thickTop="1" thickBot="1" x14ac:dyDescent="0.3">
      <c r="A46" s="451">
        <v>1</v>
      </c>
      <c r="B46" s="450" t="s">
        <v>1343</v>
      </c>
      <c r="C46" s="450" t="s">
        <v>1343</v>
      </c>
      <c r="D46" s="450" t="s">
        <v>1350</v>
      </c>
      <c r="E46" s="450" t="s">
        <v>1350</v>
      </c>
      <c r="F46" s="450" t="s">
        <v>2100</v>
      </c>
      <c r="G46" s="651">
        <v>3</v>
      </c>
      <c r="H46" s="450"/>
      <c r="I46" s="450"/>
      <c r="J46" s="450"/>
      <c r="K46" s="647" t="s">
        <v>2103</v>
      </c>
      <c r="L46" s="641">
        <v>0</v>
      </c>
      <c r="M46" s="641"/>
      <c r="N46" s="641"/>
      <c r="O46" s="641">
        <f>+L46+M46-N46</f>
        <v>0</v>
      </c>
      <c r="P46" s="641"/>
      <c r="Q46" s="641"/>
      <c r="R46" s="641"/>
      <c r="S46" s="641"/>
      <c r="T46" s="641"/>
      <c r="U46" s="641"/>
      <c r="V46" s="648" t="e">
        <f t="shared" si="2"/>
        <v>#DIV/0!</v>
      </c>
      <c r="W46" s="644"/>
      <c r="X46" s="584" t="e">
        <f t="shared" si="3"/>
        <v>#DIV/0!</v>
      </c>
      <c r="Y46" s="584" t="e">
        <f t="shared" si="3"/>
        <v>#DIV/0!</v>
      </c>
      <c r="Z46" s="584" t="e">
        <f t="shared" si="3"/>
        <v>#DIV/0!</v>
      </c>
      <c r="AA46" s="584" t="e">
        <f t="shared" si="3"/>
        <v>#DIV/0!</v>
      </c>
    </row>
    <row r="47" spans="1:27" s="632" customFormat="1" ht="22.5" customHeight="1" thickTop="1" thickBot="1" x14ac:dyDescent="0.3">
      <c r="A47" s="626">
        <v>1</v>
      </c>
      <c r="B47" s="449" t="s">
        <v>1343</v>
      </c>
      <c r="C47" s="449" t="s">
        <v>1343</v>
      </c>
      <c r="D47" s="449" t="s">
        <v>1350</v>
      </c>
      <c r="E47" s="449" t="s">
        <v>1350</v>
      </c>
      <c r="F47" s="449" t="s">
        <v>2104</v>
      </c>
      <c r="G47" s="650"/>
      <c r="H47" s="449"/>
      <c r="I47" s="449"/>
      <c r="J47" s="449"/>
      <c r="K47" s="627" t="s">
        <v>1866</v>
      </c>
      <c r="L47" s="628">
        <f>SUM(L48:L50)</f>
        <v>52608130</v>
      </c>
      <c r="M47" s="628">
        <f>SUBTOTAL(9,M48:M50)</f>
        <v>50081188</v>
      </c>
      <c r="N47" s="628">
        <f>SUBTOTAL(9,N48:N50)</f>
        <v>0</v>
      </c>
      <c r="O47" s="628">
        <f>SUBTOTAL(9,O48:O50)</f>
        <v>102689318</v>
      </c>
      <c r="P47" s="628">
        <f t="shared" ref="P47:U47" si="19">SUBTOTAL(9,P48:P50)</f>
        <v>0</v>
      </c>
      <c r="Q47" s="628">
        <f t="shared" si="19"/>
        <v>92420386</v>
      </c>
      <c r="R47" s="628">
        <f t="shared" si="19"/>
        <v>10268932</v>
      </c>
      <c r="S47" s="628">
        <f t="shared" si="19"/>
        <v>0</v>
      </c>
      <c r="T47" s="628">
        <f t="shared" si="19"/>
        <v>287177606</v>
      </c>
      <c r="U47" s="628">
        <f t="shared" si="19"/>
        <v>109631854</v>
      </c>
      <c r="V47" s="629">
        <f t="shared" si="2"/>
        <v>0.38175627802956197</v>
      </c>
      <c r="W47" s="630"/>
      <c r="X47" s="631">
        <f t="shared" si="3"/>
        <v>0</v>
      </c>
      <c r="Y47" s="631">
        <f t="shared" si="3"/>
        <v>0.89999999805237774</v>
      </c>
      <c r="Z47" s="631">
        <f t="shared" si="3"/>
        <v>0.10000000194762225</v>
      </c>
      <c r="AA47" s="631">
        <f t="shared" si="3"/>
        <v>0</v>
      </c>
    </row>
    <row r="48" spans="1:27" ht="22.5" customHeight="1" thickTop="1" thickBot="1" x14ac:dyDescent="0.3">
      <c r="A48" s="451">
        <v>1</v>
      </c>
      <c r="B48" s="450" t="s">
        <v>1343</v>
      </c>
      <c r="C48" s="450" t="s">
        <v>1343</v>
      </c>
      <c r="D48" s="450" t="s">
        <v>1350</v>
      </c>
      <c r="E48" s="450" t="s">
        <v>1350</v>
      </c>
      <c r="F48" s="450" t="s">
        <v>2104</v>
      </c>
      <c r="G48" s="651">
        <v>1</v>
      </c>
      <c r="H48" s="450"/>
      <c r="I48" s="450"/>
      <c r="J48" s="450"/>
      <c r="K48" s="639" t="s">
        <v>2105</v>
      </c>
      <c r="L48" s="642">
        <v>12598400</v>
      </c>
      <c r="M48" s="642">
        <v>50081188</v>
      </c>
      <c r="N48" s="642">
        <v>0</v>
      </c>
      <c r="O48" s="642">
        <f>+L48+M48-N48</f>
        <v>62679588</v>
      </c>
      <c r="P48" s="642"/>
      <c r="Q48" s="642">
        <f>+O48-R48</f>
        <v>56411629</v>
      </c>
      <c r="R48" s="642">
        <f>+O48*10%+0.2</f>
        <v>6267959.0000000009</v>
      </c>
      <c r="S48" s="642"/>
      <c r="T48" s="668">
        <v>247167876</v>
      </c>
      <c r="U48" s="642">
        <v>75586982</v>
      </c>
      <c r="V48" s="643">
        <f t="shared" si="2"/>
        <v>0.30581232166270667</v>
      </c>
      <c r="W48" s="665"/>
      <c r="X48" s="666">
        <f t="shared" si="3"/>
        <v>0</v>
      </c>
      <c r="Y48" s="646">
        <f t="shared" si="3"/>
        <v>0.89999999680916853</v>
      </c>
      <c r="Z48" s="646">
        <f t="shared" si="3"/>
        <v>0.10000000319083145</v>
      </c>
      <c r="AA48" s="646">
        <f t="shared" si="3"/>
        <v>0</v>
      </c>
    </row>
    <row r="49" spans="1:27" ht="22.5" customHeight="1" thickTop="1" thickBot="1" x14ac:dyDescent="0.3">
      <c r="A49" s="451">
        <v>1</v>
      </c>
      <c r="B49" s="450" t="s">
        <v>1343</v>
      </c>
      <c r="C49" s="450" t="s">
        <v>1343</v>
      </c>
      <c r="D49" s="450" t="s">
        <v>1350</v>
      </c>
      <c r="E49" s="450" t="s">
        <v>1350</v>
      </c>
      <c r="F49" s="450" t="s">
        <v>2104</v>
      </c>
      <c r="G49" s="651">
        <v>2</v>
      </c>
      <c r="H49" s="450"/>
      <c r="I49" s="450"/>
      <c r="J49" s="450"/>
      <c r="K49" s="639" t="s">
        <v>2106</v>
      </c>
      <c r="L49" s="642">
        <v>40009730</v>
      </c>
      <c r="M49" s="642">
        <v>0</v>
      </c>
      <c r="N49" s="642">
        <v>0</v>
      </c>
      <c r="O49" s="642">
        <f>+L49+M49-N49</f>
        <v>40009730</v>
      </c>
      <c r="P49" s="642"/>
      <c r="Q49" s="642">
        <v>36008757</v>
      </c>
      <c r="R49" s="642">
        <v>4000973</v>
      </c>
      <c r="S49" s="642"/>
      <c r="T49" s="642">
        <f>+Q49+R49-S49</f>
        <v>40009730</v>
      </c>
      <c r="U49" s="642">
        <v>34044872</v>
      </c>
      <c r="V49" s="643">
        <f t="shared" si="2"/>
        <v>0.8509148149712582</v>
      </c>
      <c r="W49" s="665"/>
      <c r="X49" s="666">
        <f t="shared" si="3"/>
        <v>0</v>
      </c>
      <c r="Y49" s="646">
        <f t="shared" si="3"/>
        <v>0.9</v>
      </c>
      <c r="Z49" s="646">
        <f t="shared" si="3"/>
        <v>0.1</v>
      </c>
      <c r="AA49" s="646">
        <f t="shared" si="3"/>
        <v>0</v>
      </c>
    </row>
    <row r="50" spans="1:27" ht="22.5" hidden="1" customHeight="1" thickTop="1" thickBot="1" x14ac:dyDescent="0.3">
      <c r="A50" s="451">
        <v>1</v>
      </c>
      <c r="B50" s="450" t="s">
        <v>1343</v>
      </c>
      <c r="C50" s="450" t="s">
        <v>1343</v>
      </c>
      <c r="D50" s="450" t="s">
        <v>1350</v>
      </c>
      <c r="E50" s="450" t="s">
        <v>1350</v>
      </c>
      <c r="F50" s="450" t="s">
        <v>2104</v>
      </c>
      <c r="G50" s="651">
        <v>3</v>
      </c>
      <c r="H50" s="450"/>
      <c r="I50" s="450"/>
      <c r="J50" s="450"/>
      <c r="K50" s="647" t="s">
        <v>2107</v>
      </c>
      <c r="L50" s="641">
        <v>0</v>
      </c>
      <c r="M50" s="641">
        <v>0</v>
      </c>
      <c r="N50" s="641">
        <v>0</v>
      </c>
      <c r="O50" s="641">
        <f>+L50+M50-N50</f>
        <v>0</v>
      </c>
      <c r="P50" s="641"/>
      <c r="Q50" s="641"/>
      <c r="R50" s="641"/>
      <c r="S50" s="641"/>
      <c r="T50" s="641"/>
      <c r="U50" s="641"/>
      <c r="V50" s="648" t="e">
        <f t="shared" si="2"/>
        <v>#DIV/0!</v>
      </c>
      <c r="W50" s="644"/>
      <c r="X50" s="584" t="e">
        <f t="shared" si="3"/>
        <v>#DIV/0!</v>
      </c>
      <c r="Y50" s="584" t="e">
        <f t="shared" si="3"/>
        <v>#DIV/0!</v>
      </c>
      <c r="Z50" s="584" t="e">
        <f t="shared" si="3"/>
        <v>#DIV/0!</v>
      </c>
      <c r="AA50" s="584" t="e">
        <f t="shared" si="3"/>
        <v>#DIV/0!</v>
      </c>
    </row>
    <row r="51" spans="1:27" s="632" customFormat="1" ht="22.5" customHeight="1" thickTop="1" thickBot="1" x14ac:dyDescent="0.3">
      <c r="A51" s="626">
        <v>1</v>
      </c>
      <c r="B51" s="449" t="s">
        <v>1343</v>
      </c>
      <c r="C51" s="449" t="s">
        <v>1343</v>
      </c>
      <c r="D51" s="449" t="s">
        <v>1350</v>
      </c>
      <c r="E51" s="449" t="s">
        <v>1350</v>
      </c>
      <c r="F51" s="449" t="s">
        <v>2108</v>
      </c>
      <c r="G51" s="650"/>
      <c r="H51" s="449"/>
      <c r="I51" s="449"/>
      <c r="J51" s="449"/>
      <c r="K51" s="627" t="s">
        <v>1357</v>
      </c>
      <c r="L51" s="628">
        <f>SUBTOTAL(9,L52:L54)</f>
        <v>2754021052</v>
      </c>
      <c r="M51" s="628">
        <f t="shared" ref="M51:U51" si="20">SUBTOTAL(9,M52:M54)</f>
        <v>2278585324</v>
      </c>
      <c r="N51" s="628">
        <f t="shared" si="20"/>
        <v>0</v>
      </c>
      <c r="O51" s="628">
        <f t="shared" si="20"/>
        <v>5032606376</v>
      </c>
      <c r="P51" s="628">
        <f t="shared" si="20"/>
        <v>0</v>
      </c>
      <c r="Q51" s="628">
        <f t="shared" si="20"/>
        <v>4756989489</v>
      </c>
      <c r="R51" s="628">
        <f t="shared" si="20"/>
        <v>275616887</v>
      </c>
      <c r="S51" s="628">
        <f t="shared" si="20"/>
        <v>0</v>
      </c>
      <c r="T51" s="628">
        <f t="shared" si="20"/>
        <v>6022313366</v>
      </c>
      <c r="U51" s="628">
        <f t="shared" si="20"/>
        <v>3728710404</v>
      </c>
      <c r="V51" s="629">
        <f t="shared" si="2"/>
        <v>0.61914918360958637</v>
      </c>
      <c r="W51" s="630"/>
      <c r="X51" s="631">
        <f t="shared" si="3"/>
        <v>0</v>
      </c>
      <c r="Y51" s="631">
        <f t="shared" si="3"/>
        <v>0.94523376826878625</v>
      </c>
      <c r="Z51" s="631">
        <f t="shared" si="3"/>
        <v>5.4766231731213783E-2</v>
      </c>
      <c r="AA51" s="631">
        <f t="shared" si="3"/>
        <v>0</v>
      </c>
    </row>
    <row r="52" spans="1:27" ht="22.5" customHeight="1" thickTop="1" thickBot="1" x14ac:dyDescent="0.3">
      <c r="A52" s="451">
        <v>1</v>
      </c>
      <c r="B52" s="450" t="s">
        <v>1343</v>
      </c>
      <c r="C52" s="450" t="s">
        <v>1343</v>
      </c>
      <c r="D52" s="450" t="s">
        <v>1350</v>
      </c>
      <c r="E52" s="450" t="s">
        <v>1350</v>
      </c>
      <c r="F52" s="450" t="s">
        <v>2108</v>
      </c>
      <c r="G52" s="651">
        <v>1</v>
      </c>
      <c r="H52" s="450"/>
      <c r="I52" s="450"/>
      <c r="J52" s="450"/>
      <c r="K52" s="639" t="s">
        <v>2109</v>
      </c>
      <c r="L52" s="642">
        <v>633007536</v>
      </c>
      <c r="M52" s="642">
        <v>2147808</v>
      </c>
      <c r="N52" s="642">
        <v>0</v>
      </c>
      <c r="O52" s="642">
        <f>+L52+M52-N52</f>
        <v>635155344</v>
      </c>
      <c r="P52" s="642"/>
      <c r="Q52" s="642">
        <v>571639809</v>
      </c>
      <c r="R52" s="642">
        <f>+O52*10%-0.4+1</f>
        <v>63515535.000000007</v>
      </c>
      <c r="S52" s="642"/>
      <c r="T52" s="642">
        <v>1624862334</v>
      </c>
      <c r="U52" s="642">
        <v>1027776668</v>
      </c>
      <c r="V52" s="643">
        <f t="shared" si="2"/>
        <v>0.63253153605319523</v>
      </c>
      <c r="W52" s="665"/>
      <c r="X52" s="666">
        <f t="shared" si="3"/>
        <v>0</v>
      </c>
      <c r="Y52" s="646">
        <f t="shared" si="3"/>
        <v>0.89999999905534922</v>
      </c>
      <c r="Z52" s="646">
        <f t="shared" si="3"/>
        <v>0.10000000094465081</v>
      </c>
      <c r="AA52" s="646">
        <f t="shared" si="3"/>
        <v>0</v>
      </c>
    </row>
    <row r="53" spans="1:27" ht="22.5" customHeight="1" thickTop="1" thickBot="1" x14ac:dyDescent="0.3">
      <c r="A53" s="451">
        <v>1</v>
      </c>
      <c r="B53" s="450" t="s">
        <v>1343</v>
      </c>
      <c r="C53" s="450" t="s">
        <v>1343</v>
      </c>
      <c r="D53" s="450" t="s">
        <v>1350</v>
      </c>
      <c r="E53" s="450" t="s">
        <v>1350</v>
      </c>
      <c r="F53" s="450" t="s">
        <v>2108</v>
      </c>
      <c r="G53" s="651">
        <v>2</v>
      </c>
      <c r="H53" s="450"/>
      <c r="I53" s="450"/>
      <c r="J53" s="450"/>
      <c r="K53" s="639" t="s">
        <v>2110</v>
      </c>
      <c r="L53" s="642">
        <v>2121013516</v>
      </c>
      <c r="M53" s="642">
        <v>2276437516</v>
      </c>
      <c r="N53" s="642">
        <v>0</v>
      </c>
      <c r="O53" s="642">
        <f>+L53+M53-N53</f>
        <v>4397451032</v>
      </c>
      <c r="P53" s="642"/>
      <c r="Q53" s="642">
        <v>4185349680</v>
      </c>
      <c r="R53" s="642">
        <v>212101352</v>
      </c>
      <c r="S53" s="642"/>
      <c r="T53" s="642">
        <f>+Q53+R53-S53</f>
        <v>4397451032</v>
      </c>
      <c r="U53" s="642">
        <v>2700933736</v>
      </c>
      <c r="V53" s="643">
        <f t="shared" si="2"/>
        <v>0.61420439166814123</v>
      </c>
      <c r="W53" s="665"/>
      <c r="X53" s="666">
        <f t="shared" si="3"/>
        <v>0</v>
      </c>
      <c r="Y53" s="670">
        <f t="shared" si="3"/>
        <v>0.95176720548869098</v>
      </c>
      <c r="Z53" s="670">
        <f t="shared" si="3"/>
        <v>4.8232794511309067E-2</v>
      </c>
      <c r="AA53" s="646">
        <f t="shared" si="3"/>
        <v>0</v>
      </c>
    </row>
    <row r="54" spans="1:27" ht="22.5" hidden="1" customHeight="1" thickTop="1" thickBot="1" x14ac:dyDescent="0.3">
      <c r="A54" s="451">
        <v>1</v>
      </c>
      <c r="B54" s="450" t="s">
        <v>1343</v>
      </c>
      <c r="C54" s="450" t="s">
        <v>1343</v>
      </c>
      <c r="D54" s="450" t="s">
        <v>1350</v>
      </c>
      <c r="E54" s="450" t="s">
        <v>1350</v>
      </c>
      <c r="F54" s="450" t="s">
        <v>2108</v>
      </c>
      <c r="G54" s="651">
        <v>3</v>
      </c>
      <c r="H54" s="450"/>
      <c r="I54" s="450"/>
      <c r="J54" s="450"/>
      <c r="K54" s="647" t="s">
        <v>2111</v>
      </c>
      <c r="L54" s="641">
        <v>0</v>
      </c>
      <c r="M54" s="641">
        <v>0</v>
      </c>
      <c r="N54" s="641">
        <v>0</v>
      </c>
      <c r="O54" s="641">
        <f>+L54+M54-N54</f>
        <v>0</v>
      </c>
      <c r="P54" s="641"/>
      <c r="Q54" s="641"/>
      <c r="R54" s="641"/>
      <c r="S54" s="641"/>
      <c r="T54" s="641"/>
      <c r="U54" s="641">
        <v>0</v>
      </c>
      <c r="V54" s="648" t="e">
        <f t="shared" si="2"/>
        <v>#DIV/0!</v>
      </c>
      <c r="W54" s="644"/>
      <c r="X54" s="584" t="e">
        <f t="shared" si="3"/>
        <v>#DIV/0!</v>
      </c>
      <c r="Y54" s="584" t="e">
        <f t="shared" si="3"/>
        <v>#DIV/0!</v>
      </c>
      <c r="Z54" s="584" t="e">
        <f t="shared" si="3"/>
        <v>#DIV/0!</v>
      </c>
      <c r="AA54" s="584" t="e">
        <f t="shared" si="3"/>
        <v>#DIV/0!</v>
      </c>
    </row>
    <row r="55" spans="1:27" s="632" customFormat="1" ht="22.5" customHeight="1" thickTop="1" thickBot="1" x14ac:dyDescent="0.3">
      <c r="A55" s="626">
        <v>1</v>
      </c>
      <c r="B55" s="449" t="s">
        <v>1343</v>
      </c>
      <c r="C55" s="449" t="s">
        <v>1343</v>
      </c>
      <c r="D55" s="449" t="s">
        <v>1350</v>
      </c>
      <c r="E55" s="449" t="s">
        <v>1350</v>
      </c>
      <c r="F55" s="449" t="s">
        <v>2112</v>
      </c>
      <c r="G55" s="650"/>
      <c r="H55" s="449"/>
      <c r="I55" s="449"/>
      <c r="J55" s="449"/>
      <c r="K55" s="627" t="s">
        <v>1356</v>
      </c>
      <c r="L55" s="628">
        <f t="shared" ref="L55:U55" si="21">SUBTOTAL(9,L56:L58)</f>
        <v>5581743633</v>
      </c>
      <c r="M55" s="628">
        <f t="shared" si="21"/>
        <v>498592192</v>
      </c>
      <c r="N55" s="628">
        <f t="shared" si="21"/>
        <v>0</v>
      </c>
      <c r="O55" s="628">
        <f t="shared" si="21"/>
        <v>6080335825</v>
      </c>
      <c r="P55" s="628">
        <f t="shared" si="21"/>
        <v>0</v>
      </c>
      <c r="Q55" s="628">
        <f t="shared" si="21"/>
        <v>5522161462</v>
      </c>
      <c r="R55" s="628">
        <f t="shared" si="21"/>
        <v>558174363</v>
      </c>
      <c r="S55" s="628">
        <f t="shared" si="21"/>
        <v>0</v>
      </c>
      <c r="T55" s="628">
        <f t="shared" si="21"/>
        <v>9217355938</v>
      </c>
      <c r="U55" s="628">
        <f t="shared" si="21"/>
        <v>1246380208</v>
      </c>
      <c r="V55" s="629">
        <f t="shared" si="2"/>
        <v>0.13522101309569717</v>
      </c>
      <c r="W55" s="630"/>
      <c r="X55" s="631">
        <f t="shared" si="3"/>
        <v>0</v>
      </c>
      <c r="Y55" s="631">
        <f t="shared" si="3"/>
        <v>0.90820007659692048</v>
      </c>
      <c r="Z55" s="631">
        <f t="shared" si="3"/>
        <v>9.1799923403079464E-2</v>
      </c>
      <c r="AA55" s="631">
        <f t="shared" si="3"/>
        <v>0</v>
      </c>
    </row>
    <row r="56" spans="1:27" ht="22.5" customHeight="1" thickTop="1" thickBot="1" x14ac:dyDescent="0.3">
      <c r="A56" s="451">
        <v>1</v>
      </c>
      <c r="B56" s="450" t="s">
        <v>1343</v>
      </c>
      <c r="C56" s="450" t="s">
        <v>1343</v>
      </c>
      <c r="D56" s="450" t="s">
        <v>1350</v>
      </c>
      <c r="E56" s="450" t="s">
        <v>1350</v>
      </c>
      <c r="F56" s="450" t="s">
        <v>2112</v>
      </c>
      <c r="G56" s="651">
        <v>1</v>
      </c>
      <c r="H56" s="450"/>
      <c r="I56" s="450"/>
      <c r="J56" s="450"/>
      <c r="K56" s="639" t="s">
        <v>2113</v>
      </c>
      <c r="L56" s="641">
        <v>2891493633</v>
      </c>
      <c r="M56" s="641">
        <v>0</v>
      </c>
      <c r="N56" s="641">
        <v>0</v>
      </c>
      <c r="O56" s="642">
        <f>+L56+M56-N56</f>
        <v>2891493633</v>
      </c>
      <c r="P56" s="642"/>
      <c r="Q56" s="642">
        <v>2602344269</v>
      </c>
      <c r="R56" s="642">
        <v>289149364</v>
      </c>
      <c r="S56" s="642"/>
      <c r="T56" s="642">
        <v>6028513746</v>
      </c>
      <c r="U56" s="642">
        <v>292557333</v>
      </c>
      <c r="V56" s="643">
        <f t="shared" si="2"/>
        <v>4.8528931893721851E-2</v>
      </c>
      <c r="W56" s="665"/>
      <c r="X56" s="666">
        <f t="shared" si="3"/>
        <v>0</v>
      </c>
      <c r="Y56" s="646">
        <f t="shared" si="3"/>
        <v>0.89999999975791056</v>
      </c>
      <c r="Z56" s="646">
        <f t="shared" si="3"/>
        <v>0.10000000024208941</v>
      </c>
      <c r="AA56" s="646">
        <f t="shared" si="3"/>
        <v>0</v>
      </c>
    </row>
    <row r="57" spans="1:27" ht="22.5" customHeight="1" thickTop="1" thickBot="1" x14ac:dyDescent="0.3">
      <c r="A57" s="451">
        <v>1</v>
      </c>
      <c r="B57" s="450" t="s">
        <v>1343</v>
      </c>
      <c r="C57" s="450" t="s">
        <v>1343</v>
      </c>
      <c r="D57" s="450" t="s">
        <v>1350</v>
      </c>
      <c r="E57" s="450" t="s">
        <v>1350</v>
      </c>
      <c r="F57" s="450" t="s">
        <v>2112</v>
      </c>
      <c r="G57" s="651">
        <v>2</v>
      </c>
      <c r="H57" s="450"/>
      <c r="I57" s="450"/>
      <c r="J57" s="450"/>
      <c r="K57" s="639" t="s">
        <v>2114</v>
      </c>
      <c r="L57" s="641">
        <v>2690250000</v>
      </c>
      <c r="M57" s="641">
        <v>498592192</v>
      </c>
      <c r="N57" s="641">
        <v>0</v>
      </c>
      <c r="O57" s="642">
        <f>+L57+M57-N57</f>
        <v>3188842192</v>
      </c>
      <c r="P57" s="642"/>
      <c r="Q57" s="642">
        <v>2919817193</v>
      </c>
      <c r="R57" s="642">
        <v>269024999</v>
      </c>
      <c r="S57" s="642"/>
      <c r="T57" s="642">
        <f>+Q57+R57-S57</f>
        <v>3188842192</v>
      </c>
      <c r="U57" s="642">
        <v>953822875</v>
      </c>
      <c r="V57" s="643">
        <f t="shared" si="2"/>
        <v>0.29911259873345281</v>
      </c>
      <c r="W57" s="665"/>
      <c r="X57" s="666">
        <f t="shared" si="3"/>
        <v>0</v>
      </c>
      <c r="Y57" s="671">
        <f t="shared" si="3"/>
        <v>0.915635524493838</v>
      </c>
      <c r="Z57" s="671">
        <f t="shared" si="3"/>
        <v>8.4364475506162023E-2</v>
      </c>
      <c r="AA57" s="646">
        <f t="shared" si="3"/>
        <v>0</v>
      </c>
    </row>
    <row r="58" spans="1:27" ht="22.5" hidden="1" customHeight="1" thickTop="1" thickBot="1" x14ac:dyDescent="0.3">
      <c r="A58" s="451">
        <v>1</v>
      </c>
      <c r="B58" s="450" t="s">
        <v>1343</v>
      </c>
      <c r="C58" s="450" t="s">
        <v>1343</v>
      </c>
      <c r="D58" s="450" t="s">
        <v>1350</v>
      </c>
      <c r="E58" s="450" t="s">
        <v>1350</v>
      </c>
      <c r="F58" s="450" t="s">
        <v>2112</v>
      </c>
      <c r="G58" s="651">
        <v>3</v>
      </c>
      <c r="H58" s="450"/>
      <c r="I58" s="450"/>
      <c r="J58" s="450"/>
      <c r="K58" s="647" t="s">
        <v>2115</v>
      </c>
      <c r="L58" s="641">
        <v>0</v>
      </c>
      <c r="M58" s="641">
        <v>0</v>
      </c>
      <c r="N58" s="641">
        <v>0</v>
      </c>
      <c r="O58" s="641">
        <f>+L58+M58-N58</f>
        <v>0</v>
      </c>
      <c r="P58" s="641"/>
      <c r="Q58" s="641"/>
      <c r="R58" s="641"/>
      <c r="S58" s="641"/>
      <c r="T58" s="641"/>
      <c r="U58" s="641">
        <v>0</v>
      </c>
      <c r="V58" s="648" t="e">
        <f t="shared" si="2"/>
        <v>#DIV/0!</v>
      </c>
      <c r="W58" s="644"/>
      <c r="X58" s="584" t="e">
        <f t="shared" si="3"/>
        <v>#DIV/0!</v>
      </c>
      <c r="Y58" s="584" t="e">
        <f t="shared" si="3"/>
        <v>#DIV/0!</v>
      </c>
      <c r="Z58" s="584" t="e">
        <f t="shared" si="3"/>
        <v>#DIV/0!</v>
      </c>
      <c r="AA58" s="584" t="e">
        <f t="shared" si="3"/>
        <v>#DIV/0!</v>
      </c>
    </row>
    <row r="59" spans="1:27" s="632" customFormat="1" ht="22.5" customHeight="1" thickTop="1" thickBot="1" x14ac:dyDescent="0.3">
      <c r="A59" s="626">
        <v>1</v>
      </c>
      <c r="B59" s="449" t="s">
        <v>1343</v>
      </c>
      <c r="C59" s="449" t="s">
        <v>1343</v>
      </c>
      <c r="D59" s="449" t="s">
        <v>1350</v>
      </c>
      <c r="E59" s="449" t="s">
        <v>1350</v>
      </c>
      <c r="F59" s="449" t="s">
        <v>2116</v>
      </c>
      <c r="G59" s="650"/>
      <c r="H59" s="449"/>
      <c r="I59" s="449"/>
      <c r="J59" s="449"/>
      <c r="K59" s="627" t="s">
        <v>2117</v>
      </c>
      <c r="L59" s="628">
        <f>SUBTOTAL(9,L60:L62)</f>
        <v>20550969</v>
      </c>
      <c r="M59" s="628">
        <f t="shared" ref="M59:U59" si="22">SUBTOTAL(9,M60:M62)</f>
        <v>13902435</v>
      </c>
      <c r="N59" s="628">
        <f t="shared" si="22"/>
        <v>0</v>
      </c>
      <c r="O59" s="628">
        <f t="shared" si="22"/>
        <v>34453404</v>
      </c>
      <c r="P59" s="628">
        <f t="shared" si="22"/>
        <v>0</v>
      </c>
      <c r="Q59" s="628">
        <f t="shared" si="22"/>
        <v>32398307</v>
      </c>
      <c r="R59" s="628">
        <f t="shared" si="22"/>
        <v>2055097</v>
      </c>
      <c r="S59" s="628">
        <f t="shared" si="22"/>
        <v>0</v>
      </c>
      <c r="T59" s="628">
        <f t="shared" si="22"/>
        <v>17809998</v>
      </c>
      <c r="U59" s="628">
        <f t="shared" si="22"/>
        <v>17809998</v>
      </c>
      <c r="V59" s="629">
        <f t="shared" si="2"/>
        <v>1</v>
      </c>
      <c r="W59" s="630"/>
      <c r="X59" s="631">
        <f t="shared" si="3"/>
        <v>0</v>
      </c>
      <c r="Y59" s="631">
        <f t="shared" si="3"/>
        <v>0.94035140910895187</v>
      </c>
      <c r="Z59" s="631">
        <f t="shared" si="3"/>
        <v>5.9648590891048098E-2</v>
      </c>
      <c r="AA59" s="631">
        <f t="shared" si="3"/>
        <v>0</v>
      </c>
    </row>
    <row r="60" spans="1:27" ht="22.5" customHeight="1" thickTop="1" thickBot="1" x14ac:dyDescent="0.3">
      <c r="A60" s="451">
        <v>1</v>
      </c>
      <c r="B60" s="450" t="s">
        <v>1343</v>
      </c>
      <c r="C60" s="450" t="s">
        <v>1343</v>
      </c>
      <c r="D60" s="450" t="s">
        <v>1350</v>
      </c>
      <c r="E60" s="450" t="s">
        <v>1350</v>
      </c>
      <c r="F60" s="450" t="s">
        <v>2116</v>
      </c>
      <c r="G60" s="651">
        <v>1</v>
      </c>
      <c r="H60" s="450"/>
      <c r="I60" s="450"/>
      <c r="J60" s="450"/>
      <c r="K60" s="639" t="s">
        <v>2118</v>
      </c>
      <c r="L60" s="641">
        <v>20550969</v>
      </c>
      <c r="M60" s="641">
        <v>0</v>
      </c>
      <c r="N60" s="641">
        <v>0</v>
      </c>
      <c r="O60" s="642">
        <f>+L60+M60-N60</f>
        <v>20550969</v>
      </c>
      <c r="P60" s="642"/>
      <c r="Q60" s="642">
        <v>18495872</v>
      </c>
      <c r="R60" s="642">
        <v>2055097</v>
      </c>
      <c r="S60" s="642"/>
      <c r="T60" s="642">
        <v>3907563</v>
      </c>
      <c r="U60" s="642">
        <v>3907563</v>
      </c>
      <c r="V60" s="643">
        <f t="shared" si="2"/>
        <v>1</v>
      </c>
      <c r="W60" s="665"/>
      <c r="X60" s="666">
        <f t="shared" si="3"/>
        <v>0</v>
      </c>
      <c r="Y60" s="646">
        <f t="shared" si="3"/>
        <v>0.89999999513404938</v>
      </c>
      <c r="Z60" s="646">
        <f t="shared" si="3"/>
        <v>0.10000000486595061</v>
      </c>
      <c r="AA60" s="646">
        <f t="shared" si="3"/>
        <v>0</v>
      </c>
    </row>
    <row r="61" spans="1:27" ht="22.5" customHeight="1" thickTop="1" thickBot="1" x14ac:dyDescent="0.3">
      <c r="A61" s="451">
        <v>1</v>
      </c>
      <c r="B61" s="450" t="s">
        <v>1343</v>
      </c>
      <c r="C61" s="450" t="s">
        <v>1343</v>
      </c>
      <c r="D61" s="450" t="s">
        <v>1350</v>
      </c>
      <c r="E61" s="450" t="s">
        <v>1350</v>
      </c>
      <c r="F61" s="450" t="s">
        <v>2116</v>
      </c>
      <c r="G61" s="651">
        <v>2</v>
      </c>
      <c r="H61" s="450"/>
      <c r="I61" s="450"/>
      <c r="J61" s="450"/>
      <c r="K61" s="639" t="s">
        <v>2119</v>
      </c>
      <c r="L61" s="667">
        <v>0</v>
      </c>
      <c r="M61" s="641">
        <v>13902435</v>
      </c>
      <c r="N61" s="641">
        <v>0</v>
      </c>
      <c r="O61" s="642">
        <f>+L61+M61-N61</f>
        <v>13902435</v>
      </c>
      <c r="P61" s="642"/>
      <c r="Q61" s="642">
        <f>+O61</f>
        <v>13902435</v>
      </c>
      <c r="R61" s="642"/>
      <c r="S61" s="642"/>
      <c r="T61" s="642">
        <f>+Q61+R61-S61</f>
        <v>13902435</v>
      </c>
      <c r="U61" s="642">
        <v>13902435</v>
      </c>
      <c r="V61" s="643">
        <f t="shared" si="2"/>
        <v>1</v>
      </c>
      <c r="W61" s="665"/>
      <c r="X61" s="666">
        <f t="shared" si="3"/>
        <v>0</v>
      </c>
      <c r="Y61" s="646">
        <f t="shared" si="3"/>
        <v>1</v>
      </c>
      <c r="Z61" s="646">
        <f t="shared" si="3"/>
        <v>0</v>
      </c>
      <c r="AA61" s="646">
        <f t="shared" si="3"/>
        <v>0</v>
      </c>
    </row>
    <row r="62" spans="1:27" ht="22.5" hidden="1" customHeight="1" thickTop="1" thickBot="1" x14ac:dyDescent="0.3">
      <c r="A62" s="451">
        <v>1</v>
      </c>
      <c r="B62" s="450" t="s">
        <v>1343</v>
      </c>
      <c r="C62" s="450" t="s">
        <v>1343</v>
      </c>
      <c r="D62" s="450" t="s">
        <v>1350</v>
      </c>
      <c r="E62" s="450" t="s">
        <v>1350</v>
      </c>
      <c r="F62" s="450" t="s">
        <v>2116</v>
      </c>
      <c r="G62" s="651">
        <v>3</v>
      </c>
      <c r="H62" s="450"/>
      <c r="I62" s="450"/>
      <c r="J62" s="450"/>
      <c r="K62" s="647" t="s">
        <v>2120</v>
      </c>
      <c r="L62" s="667">
        <v>0</v>
      </c>
      <c r="M62" s="641"/>
      <c r="N62" s="641"/>
      <c r="O62" s="641">
        <f>+L62+M62-N62</f>
        <v>0</v>
      </c>
      <c r="P62" s="641"/>
      <c r="Q62" s="641"/>
      <c r="R62" s="641"/>
      <c r="S62" s="641"/>
      <c r="T62" s="641"/>
      <c r="U62" s="641"/>
      <c r="V62" s="648" t="e">
        <f t="shared" si="2"/>
        <v>#DIV/0!</v>
      </c>
      <c r="W62" s="644"/>
      <c r="X62" s="584" t="e">
        <f t="shared" si="3"/>
        <v>#DIV/0!</v>
      </c>
      <c r="Y62" s="584" t="e">
        <f t="shared" si="3"/>
        <v>#DIV/0!</v>
      </c>
      <c r="Z62" s="584" t="e">
        <f t="shared" si="3"/>
        <v>#DIV/0!</v>
      </c>
      <c r="AA62" s="584" t="e">
        <f t="shared" si="3"/>
        <v>#DIV/0!</v>
      </c>
    </row>
    <row r="63" spans="1:27" s="632" customFormat="1" ht="22.5" hidden="1" customHeight="1" thickTop="1" thickBot="1" x14ac:dyDescent="0.3">
      <c r="A63" s="626">
        <v>1</v>
      </c>
      <c r="B63" s="449" t="s">
        <v>1343</v>
      </c>
      <c r="C63" s="449" t="s">
        <v>1343</v>
      </c>
      <c r="D63" s="449" t="s">
        <v>1350</v>
      </c>
      <c r="E63" s="449" t="s">
        <v>1350</v>
      </c>
      <c r="F63" s="449" t="s">
        <v>2121</v>
      </c>
      <c r="G63" s="650"/>
      <c r="H63" s="449"/>
      <c r="I63" s="449"/>
      <c r="J63" s="449"/>
      <c r="K63" s="627" t="s">
        <v>1863</v>
      </c>
      <c r="L63" s="628">
        <f>SUBTOTAL(9,L64:L66)</f>
        <v>0</v>
      </c>
      <c r="M63" s="628">
        <f t="shared" ref="M63:U63" si="23">SUBTOTAL(9,M64:M66)</f>
        <v>0</v>
      </c>
      <c r="N63" s="628">
        <f t="shared" si="23"/>
        <v>0</v>
      </c>
      <c r="O63" s="628">
        <f t="shared" si="23"/>
        <v>0</v>
      </c>
      <c r="P63" s="628">
        <f t="shared" si="23"/>
        <v>0</v>
      </c>
      <c r="Q63" s="628">
        <f t="shared" si="23"/>
        <v>0</v>
      </c>
      <c r="R63" s="628">
        <f t="shared" si="23"/>
        <v>0</v>
      </c>
      <c r="S63" s="628">
        <f t="shared" si="23"/>
        <v>0</v>
      </c>
      <c r="T63" s="628">
        <f t="shared" si="23"/>
        <v>0</v>
      </c>
      <c r="U63" s="628">
        <f t="shared" si="23"/>
        <v>0</v>
      </c>
      <c r="V63" s="629" t="e">
        <f t="shared" si="2"/>
        <v>#DIV/0!</v>
      </c>
      <c r="W63" s="630"/>
      <c r="X63" s="632" t="e">
        <f t="shared" si="3"/>
        <v>#DIV/0!</v>
      </c>
      <c r="Y63" s="632" t="e">
        <f t="shared" si="3"/>
        <v>#DIV/0!</v>
      </c>
      <c r="Z63" s="632" t="e">
        <f t="shared" si="3"/>
        <v>#DIV/0!</v>
      </c>
      <c r="AA63" s="632" t="e">
        <f t="shared" si="3"/>
        <v>#DIV/0!</v>
      </c>
    </row>
    <row r="64" spans="1:27" ht="22.5" hidden="1" customHeight="1" thickTop="1" thickBot="1" x14ac:dyDescent="0.3">
      <c r="A64" s="451">
        <v>1</v>
      </c>
      <c r="B64" s="450" t="s">
        <v>1343</v>
      </c>
      <c r="C64" s="450" t="s">
        <v>1343</v>
      </c>
      <c r="D64" s="450" t="s">
        <v>1350</v>
      </c>
      <c r="E64" s="450" t="s">
        <v>1350</v>
      </c>
      <c r="F64" s="450" t="s">
        <v>2121</v>
      </c>
      <c r="G64" s="651">
        <v>1</v>
      </c>
      <c r="H64" s="450"/>
      <c r="I64" s="450"/>
      <c r="J64" s="450"/>
      <c r="K64" s="647" t="s">
        <v>2122</v>
      </c>
      <c r="L64" s="641">
        <v>0</v>
      </c>
      <c r="M64" s="641"/>
      <c r="N64" s="641"/>
      <c r="O64" s="641">
        <f>+L64+M64-N64</f>
        <v>0</v>
      </c>
      <c r="P64" s="641"/>
      <c r="Q64" s="641"/>
      <c r="R64" s="641"/>
      <c r="S64" s="641"/>
      <c r="T64" s="641"/>
      <c r="U64" s="641"/>
      <c r="V64" s="648" t="e">
        <f t="shared" si="2"/>
        <v>#DIV/0!</v>
      </c>
      <c r="W64" s="644"/>
      <c r="X64" s="584" t="e">
        <f t="shared" si="3"/>
        <v>#DIV/0!</v>
      </c>
      <c r="Y64" s="584" t="e">
        <f t="shared" si="3"/>
        <v>#DIV/0!</v>
      </c>
      <c r="Z64" s="584" t="e">
        <f t="shared" si="3"/>
        <v>#DIV/0!</v>
      </c>
      <c r="AA64" s="584" t="e">
        <f t="shared" si="3"/>
        <v>#DIV/0!</v>
      </c>
    </row>
    <row r="65" spans="1:27" ht="22.5" hidden="1" customHeight="1" thickTop="1" thickBot="1" x14ac:dyDescent="0.3">
      <c r="A65" s="451">
        <v>1</v>
      </c>
      <c r="B65" s="450" t="s">
        <v>1343</v>
      </c>
      <c r="C65" s="450" t="s">
        <v>1343</v>
      </c>
      <c r="D65" s="450" t="s">
        <v>1350</v>
      </c>
      <c r="E65" s="450" t="s">
        <v>1350</v>
      </c>
      <c r="F65" s="450" t="s">
        <v>2121</v>
      </c>
      <c r="G65" s="651">
        <v>2</v>
      </c>
      <c r="H65" s="450"/>
      <c r="I65" s="450"/>
      <c r="J65" s="450"/>
      <c r="K65" s="647" t="s">
        <v>2123</v>
      </c>
      <c r="L65" s="641">
        <v>0</v>
      </c>
      <c r="M65" s="641"/>
      <c r="N65" s="641"/>
      <c r="O65" s="641">
        <f>+L65+M65-N65</f>
        <v>0</v>
      </c>
      <c r="P65" s="641"/>
      <c r="Q65" s="641"/>
      <c r="R65" s="641"/>
      <c r="S65" s="641"/>
      <c r="T65" s="641"/>
      <c r="U65" s="641"/>
      <c r="V65" s="648" t="e">
        <f t="shared" si="2"/>
        <v>#DIV/0!</v>
      </c>
      <c r="W65" s="644"/>
      <c r="X65" s="584" t="e">
        <f t="shared" si="3"/>
        <v>#DIV/0!</v>
      </c>
      <c r="Y65" s="584" t="e">
        <f t="shared" si="3"/>
        <v>#DIV/0!</v>
      </c>
      <c r="Z65" s="584" t="e">
        <f t="shared" si="3"/>
        <v>#DIV/0!</v>
      </c>
      <c r="AA65" s="584" t="e">
        <f t="shared" si="3"/>
        <v>#DIV/0!</v>
      </c>
    </row>
    <row r="66" spans="1:27" ht="22.5" hidden="1" customHeight="1" thickTop="1" thickBot="1" x14ac:dyDescent="0.3">
      <c r="A66" s="451">
        <v>1</v>
      </c>
      <c r="B66" s="450" t="s">
        <v>1343</v>
      </c>
      <c r="C66" s="450" t="s">
        <v>1343</v>
      </c>
      <c r="D66" s="450" t="s">
        <v>1350</v>
      </c>
      <c r="E66" s="450" t="s">
        <v>1350</v>
      </c>
      <c r="F66" s="450" t="s">
        <v>2121</v>
      </c>
      <c r="G66" s="651">
        <v>3</v>
      </c>
      <c r="H66" s="450"/>
      <c r="I66" s="450"/>
      <c r="J66" s="450"/>
      <c r="K66" s="647" t="s">
        <v>2124</v>
      </c>
      <c r="L66" s="641">
        <v>0</v>
      </c>
      <c r="M66" s="641"/>
      <c r="N66" s="641"/>
      <c r="O66" s="641">
        <f>+L66+M66-N66</f>
        <v>0</v>
      </c>
      <c r="P66" s="641"/>
      <c r="Q66" s="641"/>
      <c r="R66" s="641"/>
      <c r="S66" s="641"/>
      <c r="T66" s="641"/>
      <c r="U66" s="641"/>
      <c r="V66" s="648" t="e">
        <f t="shared" si="2"/>
        <v>#DIV/0!</v>
      </c>
      <c r="W66" s="644"/>
      <c r="X66" s="584" t="e">
        <f t="shared" si="3"/>
        <v>#DIV/0!</v>
      </c>
      <c r="Y66" s="584" t="e">
        <f t="shared" si="3"/>
        <v>#DIV/0!</v>
      </c>
      <c r="Z66" s="584" t="e">
        <f t="shared" si="3"/>
        <v>#DIV/0!</v>
      </c>
      <c r="AA66" s="584" t="e">
        <f t="shared" si="3"/>
        <v>#DIV/0!</v>
      </c>
    </row>
    <row r="67" spans="1:27" s="632" customFormat="1" ht="22.5" customHeight="1" thickTop="1" thickBot="1" x14ac:dyDescent="0.3">
      <c r="A67" s="626">
        <v>1</v>
      </c>
      <c r="B67" s="449" t="s">
        <v>1343</v>
      </c>
      <c r="C67" s="449" t="s">
        <v>1343</v>
      </c>
      <c r="D67" s="449" t="s">
        <v>1350</v>
      </c>
      <c r="E67" s="449" t="s">
        <v>1350</v>
      </c>
      <c r="F67" s="449" t="s">
        <v>2125</v>
      </c>
      <c r="G67" s="650"/>
      <c r="H67" s="449"/>
      <c r="I67" s="449"/>
      <c r="J67" s="449"/>
      <c r="K67" s="627" t="s">
        <v>1349</v>
      </c>
      <c r="L67" s="628">
        <f>SUBTOTAL(9,L68:L70)</f>
        <v>13913780326</v>
      </c>
      <c r="M67" s="628">
        <f t="shared" ref="M67:U67" si="24">SUBTOTAL(9,M68:M70)</f>
        <v>0</v>
      </c>
      <c r="N67" s="628">
        <f t="shared" si="24"/>
        <v>0</v>
      </c>
      <c r="O67" s="628">
        <f t="shared" si="24"/>
        <v>13913780326</v>
      </c>
      <c r="P67" s="628">
        <f t="shared" si="24"/>
        <v>0</v>
      </c>
      <c r="Q67" s="628">
        <f t="shared" si="24"/>
        <v>13913780326</v>
      </c>
      <c r="R67" s="628">
        <f t="shared" si="24"/>
        <v>0</v>
      </c>
      <c r="S67" s="628">
        <f t="shared" si="24"/>
        <v>0</v>
      </c>
      <c r="T67" s="628">
        <f t="shared" si="24"/>
        <v>14639121707</v>
      </c>
      <c r="U67" s="628">
        <f t="shared" si="24"/>
        <v>15070239107</v>
      </c>
      <c r="V67" s="629">
        <f t="shared" si="2"/>
        <v>1.0294496766014216</v>
      </c>
      <c r="W67" s="630"/>
      <c r="X67" s="631">
        <f t="shared" si="3"/>
        <v>0</v>
      </c>
      <c r="Y67" s="631">
        <f t="shared" si="3"/>
        <v>1</v>
      </c>
      <c r="Z67" s="631">
        <f t="shared" si="3"/>
        <v>0</v>
      </c>
      <c r="AA67" s="631">
        <f t="shared" si="3"/>
        <v>0</v>
      </c>
    </row>
    <row r="68" spans="1:27" ht="22.5" customHeight="1" thickTop="1" thickBot="1" x14ac:dyDescent="0.3">
      <c r="A68" s="451">
        <v>1</v>
      </c>
      <c r="B68" s="450" t="s">
        <v>1343</v>
      </c>
      <c r="C68" s="450" t="s">
        <v>1343</v>
      </c>
      <c r="D68" s="450" t="s">
        <v>1350</v>
      </c>
      <c r="E68" s="450" t="s">
        <v>1350</v>
      </c>
      <c r="F68" s="450" t="s">
        <v>2125</v>
      </c>
      <c r="G68" s="651">
        <v>1</v>
      </c>
      <c r="H68" s="450"/>
      <c r="I68" s="450"/>
      <c r="J68" s="450"/>
      <c r="K68" s="639" t="s">
        <v>2126</v>
      </c>
      <c r="L68" s="641">
        <v>13913780326</v>
      </c>
      <c r="M68" s="641">
        <v>0</v>
      </c>
      <c r="N68" s="641">
        <v>0</v>
      </c>
      <c r="O68" s="642">
        <f>+L68+M68-N68</f>
        <v>13913780326</v>
      </c>
      <c r="P68" s="642"/>
      <c r="Q68" s="642">
        <f>+N68+O68-P68</f>
        <v>13913780326</v>
      </c>
      <c r="R68" s="642"/>
      <c r="S68" s="642"/>
      <c r="T68" s="642">
        <v>14639121707</v>
      </c>
      <c r="U68" s="642">
        <v>15070239107</v>
      </c>
      <c r="V68" s="643">
        <f t="shared" si="2"/>
        <v>1.0294496766014216</v>
      </c>
      <c r="W68" s="665"/>
      <c r="X68" s="666">
        <f t="shared" si="3"/>
        <v>0</v>
      </c>
      <c r="Y68" s="646">
        <f t="shared" si="3"/>
        <v>1</v>
      </c>
      <c r="Z68" s="646">
        <f t="shared" si="3"/>
        <v>0</v>
      </c>
      <c r="AA68" s="646">
        <f t="shared" si="3"/>
        <v>0</v>
      </c>
    </row>
    <row r="69" spans="1:27" ht="22.5" hidden="1" customHeight="1" thickTop="1" thickBot="1" x14ac:dyDescent="0.3">
      <c r="A69" s="451">
        <v>1</v>
      </c>
      <c r="B69" s="450" t="s">
        <v>1343</v>
      </c>
      <c r="C69" s="450" t="s">
        <v>1343</v>
      </c>
      <c r="D69" s="450" t="s">
        <v>1350</v>
      </c>
      <c r="E69" s="450" t="s">
        <v>1350</v>
      </c>
      <c r="F69" s="450" t="s">
        <v>2125</v>
      </c>
      <c r="G69" s="651">
        <v>2</v>
      </c>
      <c r="H69" s="450"/>
      <c r="I69" s="450"/>
      <c r="J69" s="450"/>
      <c r="K69" s="647" t="s">
        <v>2127</v>
      </c>
      <c r="L69" s="641">
        <v>0</v>
      </c>
      <c r="M69" s="641"/>
      <c r="N69" s="641"/>
      <c r="O69" s="641">
        <f>+L69+M69-N69</f>
        <v>0</v>
      </c>
      <c r="P69" s="641"/>
      <c r="Q69" s="641"/>
      <c r="R69" s="641"/>
      <c r="S69" s="641"/>
      <c r="T69" s="641"/>
      <c r="U69" s="641"/>
      <c r="V69" s="648" t="e">
        <f t="shared" si="2"/>
        <v>#DIV/0!</v>
      </c>
      <c r="W69" s="644"/>
      <c r="X69" s="584" t="e">
        <f t="shared" si="3"/>
        <v>#DIV/0!</v>
      </c>
      <c r="Y69" s="584" t="e">
        <f t="shared" si="3"/>
        <v>#DIV/0!</v>
      </c>
      <c r="Z69" s="584" t="e">
        <f t="shared" si="3"/>
        <v>#DIV/0!</v>
      </c>
      <c r="AA69" s="584" t="e">
        <f t="shared" si="3"/>
        <v>#DIV/0!</v>
      </c>
    </row>
    <row r="70" spans="1:27" ht="22.5" hidden="1" customHeight="1" thickTop="1" thickBot="1" x14ac:dyDescent="0.3">
      <c r="A70" s="451">
        <v>1</v>
      </c>
      <c r="B70" s="450" t="s">
        <v>1343</v>
      </c>
      <c r="C70" s="450" t="s">
        <v>1343</v>
      </c>
      <c r="D70" s="450" t="s">
        <v>1350</v>
      </c>
      <c r="E70" s="450" t="s">
        <v>1350</v>
      </c>
      <c r="F70" s="450" t="s">
        <v>2125</v>
      </c>
      <c r="G70" s="651">
        <v>3</v>
      </c>
      <c r="H70" s="450"/>
      <c r="I70" s="450"/>
      <c r="J70" s="450"/>
      <c r="K70" s="647" t="s">
        <v>2128</v>
      </c>
      <c r="L70" s="641">
        <v>0</v>
      </c>
      <c r="M70" s="641"/>
      <c r="N70" s="641"/>
      <c r="O70" s="641">
        <f>+L70+M70-N70</f>
        <v>0</v>
      </c>
      <c r="P70" s="641"/>
      <c r="Q70" s="641"/>
      <c r="R70" s="641"/>
      <c r="S70" s="641"/>
      <c r="T70" s="641"/>
      <c r="U70" s="641"/>
      <c r="V70" s="648" t="e">
        <f t="shared" si="2"/>
        <v>#DIV/0!</v>
      </c>
      <c r="W70" s="644"/>
      <c r="X70" s="584" t="e">
        <f t="shared" si="3"/>
        <v>#DIV/0!</v>
      </c>
      <c r="Y70" s="584" t="e">
        <f t="shared" si="3"/>
        <v>#DIV/0!</v>
      </c>
      <c r="Z70" s="584" t="e">
        <f t="shared" si="3"/>
        <v>#DIV/0!</v>
      </c>
      <c r="AA70" s="584" t="e">
        <f t="shared" si="3"/>
        <v>#DIV/0!</v>
      </c>
    </row>
    <row r="71" spans="1:27" s="632" customFormat="1" ht="22.5" hidden="1" customHeight="1" thickTop="1" thickBot="1" x14ac:dyDescent="0.3">
      <c r="A71" s="626">
        <v>1</v>
      </c>
      <c r="B71" s="449" t="s">
        <v>1343</v>
      </c>
      <c r="C71" s="449" t="s">
        <v>1343</v>
      </c>
      <c r="D71" s="449" t="s">
        <v>1350</v>
      </c>
      <c r="E71" s="449" t="s">
        <v>1350</v>
      </c>
      <c r="F71" s="449" t="s">
        <v>2129</v>
      </c>
      <c r="G71" s="650"/>
      <c r="H71" s="449"/>
      <c r="I71" s="449"/>
      <c r="J71" s="449"/>
      <c r="K71" s="627" t="s">
        <v>1864</v>
      </c>
      <c r="L71" s="628">
        <f>SUBTOTAL(9,L72:L74)</f>
        <v>0</v>
      </c>
      <c r="M71" s="628">
        <f t="shared" ref="M71:U71" si="25">SUBTOTAL(9,M72:M74)</f>
        <v>0</v>
      </c>
      <c r="N71" s="628">
        <f t="shared" si="25"/>
        <v>0</v>
      </c>
      <c r="O71" s="628">
        <f t="shared" si="25"/>
        <v>0</v>
      </c>
      <c r="P71" s="628">
        <f t="shared" si="25"/>
        <v>0</v>
      </c>
      <c r="Q71" s="628">
        <f t="shared" si="25"/>
        <v>0</v>
      </c>
      <c r="R71" s="628">
        <f t="shared" si="25"/>
        <v>0</v>
      </c>
      <c r="S71" s="628">
        <f t="shared" si="25"/>
        <v>0</v>
      </c>
      <c r="T71" s="628">
        <f t="shared" si="25"/>
        <v>0</v>
      </c>
      <c r="U71" s="628">
        <f t="shared" si="25"/>
        <v>0</v>
      </c>
      <c r="V71" s="629" t="e">
        <f t="shared" si="2"/>
        <v>#DIV/0!</v>
      </c>
      <c r="W71" s="630"/>
      <c r="X71" s="632" t="e">
        <f t="shared" si="3"/>
        <v>#DIV/0!</v>
      </c>
      <c r="Y71" s="632" t="e">
        <f t="shared" si="3"/>
        <v>#DIV/0!</v>
      </c>
      <c r="Z71" s="632" t="e">
        <f t="shared" si="3"/>
        <v>#DIV/0!</v>
      </c>
      <c r="AA71" s="632" t="e">
        <f t="shared" ref="AA71:AA134" si="26">+S71/$O71</f>
        <v>#DIV/0!</v>
      </c>
    </row>
    <row r="72" spans="1:27" ht="22.5" hidden="1" customHeight="1" thickTop="1" thickBot="1" x14ac:dyDescent="0.3">
      <c r="A72" s="451">
        <v>1</v>
      </c>
      <c r="B72" s="450" t="s">
        <v>1343</v>
      </c>
      <c r="C72" s="450" t="s">
        <v>1343</v>
      </c>
      <c r="D72" s="450" t="s">
        <v>1350</v>
      </c>
      <c r="E72" s="450" t="s">
        <v>1350</v>
      </c>
      <c r="F72" s="450" t="s">
        <v>2129</v>
      </c>
      <c r="G72" s="651">
        <v>1</v>
      </c>
      <c r="H72" s="450"/>
      <c r="I72" s="450"/>
      <c r="J72" s="450"/>
      <c r="K72" s="647" t="s">
        <v>2130</v>
      </c>
      <c r="L72" s="641">
        <v>0</v>
      </c>
      <c r="M72" s="641"/>
      <c r="N72" s="641"/>
      <c r="O72" s="641">
        <f>+L72+M72-N72</f>
        <v>0</v>
      </c>
      <c r="P72" s="641"/>
      <c r="Q72" s="641"/>
      <c r="R72" s="641"/>
      <c r="S72" s="641"/>
      <c r="T72" s="641"/>
      <c r="U72" s="641"/>
      <c r="V72" s="648" t="e">
        <f t="shared" si="2"/>
        <v>#DIV/0!</v>
      </c>
      <c r="W72" s="644"/>
      <c r="X72" s="584" t="e">
        <f t="shared" ref="X72:AA135" si="27">+P72/$O72</f>
        <v>#DIV/0!</v>
      </c>
      <c r="Y72" s="584" t="e">
        <f t="shared" si="27"/>
        <v>#DIV/0!</v>
      </c>
      <c r="Z72" s="584" t="e">
        <f t="shared" si="27"/>
        <v>#DIV/0!</v>
      </c>
      <c r="AA72" s="584" t="e">
        <f t="shared" si="26"/>
        <v>#DIV/0!</v>
      </c>
    </row>
    <row r="73" spans="1:27" ht="22.5" hidden="1" customHeight="1" thickTop="1" thickBot="1" x14ac:dyDescent="0.3">
      <c r="A73" s="451">
        <v>1</v>
      </c>
      <c r="B73" s="450" t="s">
        <v>1343</v>
      </c>
      <c r="C73" s="450" t="s">
        <v>1343</v>
      </c>
      <c r="D73" s="450" t="s">
        <v>1350</v>
      </c>
      <c r="E73" s="450" t="s">
        <v>1350</v>
      </c>
      <c r="F73" s="450" t="s">
        <v>2129</v>
      </c>
      <c r="G73" s="651">
        <v>2</v>
      </c>
      <c r="H73" s="450"/>
      <c r="I73" s="450"/>
      <c r="J73" s="450"/>
      <c r="K73" s="647" t="s">
        <v>2131</v>
      </c>
      <c r="L73" s="641">
        <v>0</v>
      </c>
      <c r="M73" s="641"/>
      <c r="N73" s="641"/>
      <c r="O73" s="641">
        <f>+L73+M73-N73</f>
        <v>0</v>
      </c>
      <c r="P73" s="641"/>
      <c r="Q73" s="641"/>
      <c r="R73" s="641"/>
      <c r="S73" s="641"/>
      <c r="T73" s="641"/>
      <c r="U73" s="641"/>
      <c r="V73" s="648" t="e">
        <f t="shared" ref="V73:V140" si="28">+U73/T73</f>
        <v>#DIV/0!</v>
      </c>
      <c r="W73" s="644"/>
      <c r="X73" s="584" t="e">
        <f t="shared" si="27"/>
        <v>#DIV/0!</v>
      </c>
      <c r="Y73" s="584" t="e">
        <f t="shared" si="27"/>
        <v>#DIV/0!</v>
      </c>
      <c r="Z73" s="584" t="e">
        <f t="shared" si="27"/>
        <v>#DIV/0!</v>
      </c>
      <c r="AA73" s="584" t="e">
        <f t="shared" si="26"/>
        <v>#DIV/0!</v>
      </c>
    </row>
    <row r="74" spans="1:27" ht="22.5" hidden="1" customHeight="1" thickTop="1" thickBot="1" x14ac:dyDescent="0.3">
      <c r="A74" s="451">
        <v>1</v>
      </c>
      <c r="B74" s="450" t="s">
        <v>1343</v>
      </c>
      <c r="C74" s="450" t="s">
        <v>1343</v>
      </c>
      <c r="D74" s="450" t="s">
        <v>1350</v>
      </c>
      <c r="E74" s="450" t="s">
        <v>1350</v>
      </c>
      <c r="F74" s="450" t="s">
        <v>2129</v>
      </c>
      <c r="G74" s="651">
        <v>3</v>
      </c>
      <c r="H74" s="450"/>
      <c r="I74" s="450"/>
      <c r="J74" s="450"/>
      <c r="K74" s="647" t="s">
        <v>2132</v>
      </c>
      <c r="L74" s="641">
        <v>0</v>
      </c>
      <c r="M74" s="641"/>
      <c r="N74" s="641"/>
      <c r="O74" s="641">
        <f>+L74+M74-N74</f>
        <v>0</v>
      </c>
      <c r="P74" s="641"/>
      <c r="Q74" s="641"/>
      <c r="R74" s="641"/>
      <c r="S74" s="641"/>
      <c r="T74" s="641"/>
      <c r="U74" s="641"/>
      <c r="V74" s="648" t="e">
        <f t="shared" si="28"/>
        <v>#DIV/0!</v>
      </c>
      <c r="W74" s="644"/>
      <c r="X74" s="584" t="e">
        <f t="shared" si="27"/>
        <v>#DIV/0!</v>
      </c>
      <c r="Y74" s="584" t="e">
        <f t="shared" si="27"/>
        <v>#DIV/0!</v>
      </c>
      <c r="Z74" s="584" t="e">
        <f t="shared" si="27"/>
        <v>#DIV/0!</v>
      </c>
      <c r="AA74" s="584" t="e">
        <f t="shared" si="26"/>
        <v>#DIV/0!</v>
      </c>
    </row>
    <row r="75" spans="1:27" s="632" customFormat="1" ht="22.5" customHeight="1" thickTop="1" thickBot="1" x14ac:dyDescent="0.3">
      <c r="A75" s="626">
        <v>1</v>
      </c>
      <c r="B75" s="449" t="s">
        <v>1343</v>
      </c>
      <c r="C75" s="449" t="s">
        <v>1343</v>
      </c>
      <c r="D75" s="449" t="s">
        <v>1350</v>
      </c>
      <c r="E75" s="449" t="s">
        <v>1350</v>
      </c>
      <c r="F75" s="449" t="s">
        <v>2133</v>
      </c>
      <c r="G75" s="650"/>
      <c r="H75" s="449"/>
      <c r="I75" s="449"/>
      <c r="J75" s="449"/>
      <c r="K75" s="627" t="s">
        <v>2134</v>
      </c>
      <c r="L75" s="628">
        <f>SUM(L76:L78)</f>
        <v>1500000</v>
      </c>
      <c r="M75" s="628">
        <f t="shared" ref="M75:U75" si="29">SUM(M76:M78)</f>
        <v>315200</v>
      </c>
      <c r="N75" s="628">
        <f t="shared" si="29"/>
        <v>0</v>
      </c>
      <c r="O75" s="628">
        <f t="shared" si="29"/>
        <v>1815200</v>
      </c>
      <c r="P75" s="628">
        <f t="shared" si="29"/>
        <v>0</v>
      </c>
      <c r="Q75" s="628">
        <f t="shared" si="29"/>
        <v>1633680</v>
      </c>
      <c r="R75" s="628">
        <f t="shared" si="29"/>
        <v>181520</v>
      </c>
      <c r="S75" s="628">
        <f t="shared" si="29"/>
        <v>0</v>
      </c>
      <c r="T75" s="628">
        <f t="shared" si="29"/>
        <v>1914200</v>
      </c>
      <c r="U75" s="628">
        <f t="shared" si="29"/>
        <v>1850200</v>
      </c>
      <c r="V75" s="629">
        <f t="shared" si="28"/>
        <v>0.96656566711942327</v>
      </c>
      <c r="W75" s="630"/>
      <c r="X75" s="631">
        <f t="shared" si="27"/>
        <v>0</v>
      </c>
      <c r="Y75" s="631">
        <f t="shared" si="27"/>
        <v>0.9</v>
      </c>
      <c r="Z75" s="631">
        <f t="shared" si="27"/>
        <v>0.1</v>
      </c>
      <c r="AA75" s="631">
        <f t="shared" si="26"/>
        <v>0</v>
      </c>
    </row>
    <row r="76" spans="1:27" ht="22.5" customHeight="1" thickTop="1" thickBot="1" x14ac:dyDescent="0.3">
      <c r="A76" s="451">
        <v>1</v>
      </c>
      <c r="B76" s="450" t="s">
        <v>1343</v>
      </c>
      <c r="C76" s="450" t="s">
        <v>1343</v>
      </c>
      <c r="D76" s="450" t="s">
        <v>1350</v>
      </c>
      <c r="E76" s="450" t="s">
        <v>1350</v>
      </c>
      <c r="F76" s="450" t="s">
        <v>2133</v>
      </c>
      <c r="G76" s="651">
        <v>1</v>
      </c>
      <c r="H76" s="450"/>
      <c r="I76" s="450"/>
      <c r="J76" s="450"/>
      <c r="K76" s="639" t="s">
        <v>2135</v>
      </c>
      <c r="L76" s="642">
        <v>1500000</v>
      </c>
      <c r="M76" s="642">
        <v>315200</v>
      </c>
      <c r="N76" s="642">
        <v>0</v>
      </c>
      <c r="O76" s="642">
        <f>+L76+M76-N76</f>
        <v>1815200</v>
      </c>
      <c r="P76" s="642"/>
      <c r="Q76" s="642">
        <f>+O76-R76</f>
        <v>1633680</v>
      </c>
      <c r="R76" s="642">
        <f>+O76*10%</f>
        <v>181520</v>
      </c>
      <c r="S76" s="642"/>
      <c r="T76" s="642">
        <v>1914200</v>
      </c>
      <c r="U76" s="642">
        <v>1850200</v>
      </c>
      <c r="V76" s="643">
        <f t="shared" si="28"/>
        <v>0.96656566711942327</v>
      </c>
      <c r="W76" s="665"/>
      <c r="X76" s="666">
        <f t="shared" si="27"/>
        <v>0</v>
      </c>
      <c r="Y76" s="646">
        <f t="shared" si="27"/>
        <v>0.9</v>
      </c>
      <c r="Z76" s="646">
        <f t="shared" si="27"/>
        <v>0.1</v>
      </c>
      <c r="AA76" s="646">
        <f t="shared" si="26"/>
        <v>0</v>
      </c>
    </row>
    <row r="77" spans="1:27" ht="22.5" hidden="1" customHeight="1" thickTop="1" thickBot="1" x14ac:dyDescent="0.3">
      <c r="A77" s="451">
        <v>1</v>
      </c>
      <c r="B77" s="450" t="s">
        <v>1343</v>
      </c>
      <c r="C77" s="450" t="s">
        <v>1343</v>
      </c>
      <c r="D77" s="450" t="s">
        <v>1350</v>
      </c>
      <c r="E77" s="450" t="s">
        <v>1350</v>
      </c>
      <c r="F77" s="450" t="s">
        <v>2133</v>
      </c>
      <c r="G77" s="651">
        <v>2</v>
      </c>
      <c r="H77" s="450"/>
      <c r="I77" s="450"/>
      <c r="J77" s="450"/>
      <c r="K77" s="647" t="s">
        <v>2136</v>
      </c>
      <c r="L77" s="641">
        <v>0</v>
      </c>
      <c r="M77" s="641"/>
      <c r="N77" s="641"/>
      <c r="O77" s="641">
        <f>+L77+M77-N77</f>
        <v>0</v>
      </c>
      <c r="P77" s="641"/>
      <c r="Q77" s="641"/>
      <c r="R77" s="641"/>
      <c r="S77" s="641"/>
      <c r="T77" s="641"/>
      <c r="U77" s="641"/>
      <c r="V77" s="648" t="e">
        <f t="shared" si="28"/>
        <v>#DIV/0!</v>
      </c>
      <c r="W77" s="644"/>
      <c r="X77" s="584" t="e">
        <f t="shared" si="27"/>
        <v>#DIV/0!</v>
      </c>
      <c r="Y77" s="584" t="e">
        <f t="shared" si="27"/>
        <v>#DIV/0!</v>
      </c>
      <c r="Z77" s="584" t="e">
        <f t="shared" si="27"/>
        <v>#DIV/0!</v>
      </c>
      <c r="AA77" s="584" t="e">
        <f t="shared" si="26"/>
        <v>#DIV/0!</v>
      </c>
    </row>
    <row r="78" spans="1:27" ht="22.5" hidden="1" customHeight="1" thickTop="1" thickBot="1" x14ac:dyDescent="0.3">
      <c r="A78" s="451">
        <v>1</v>
      </c>
      <c r="B78" s="450" t="s">
        <v>1343</v>
      </c>
      <c r="C78" s="450" t="s">
        <v>1343</v>
      </c>
      <c r="D78" s="450" t="s">
        <v>1350</v>
      </c>
      <c r="E78" s="450" t="s">
        <v>1350</v>
      </c>
      <c r="F78" s="450" t="s">
        <v>2133</v>
      </c>
      <c r="G78" s="651">
        <v>3</v>
      </c>
      <c r="H78" s="450"/>
      <c r="I78" s="450"/>
      <c r="J78" s="450"/>
      <c r="K78" s="647" t="s">
        <v>2137</v>
      </c>
      <c r="L78" s="641">
        <v>0</v>
      </c>
      <c r="M78" s="641"/>
      <c r="N78" s="641"/>
      <c r="O78" s="641">
        <f>+L78+M78-N78</f>
        <v>0</v>
      </c>
      <c r="P78" s="641"/>
      <c r="Q78" s="641"/>
      <c r="R78" s="641"/>
      <c r="S78" s="641"/>
      <c r="T78" s="641"/>
      <c r="U78" s="641"/>
      <c r="V78" s="648" t="e">
        <f t="shared" si="28"/>
        <v>#DIV/0!</v>
      </c>
      <c r="W78" s="644"/>
      <c r="X78" s="584" t="e">
        <f t="shared" si="27"/>
        <v>#DIV/0!</v>
      </c>
      <c r="Y78" s="584" t="e">
        <f t="shared" si="27"/>
        <v>#DIV/0!</v>
      </c>
      <c r="Z78" s="584" t="e">
        <f t="shared" si="27"/>
        <v>#DIV/0!</v>
      </c>
      <c r="AA78" s="584" t="e">
        <f t="shared" si="26"/>
        <v>#DIV/0!</v>
      </c>
    </row>
    <row r="79" spans="1:27" s="619" customFormat="1" ht="22.5" customHeight="1" thickTop="1" thickBot="1" x14ac:dyDescent="0.3">
      <c r="A79" s="619">
        <v>1</v>
      </c>
      <c r="B79" s="619" t="s">
        <v>1343</v>
      </c>
      <c r="C79" s="619" t="s">
        <v>1343</v>
      </c>
      <c r="D79" s="619" t="s">
        <v>1350</v>
      </c>
      <c r="E79" s="619" t="s">
        <v>1354</v>
      </c>
      <c r="K79" s="623" t="s">
        <v>1362</v>
      </c>
      <c r="L79" s="621">
        <f>+L80+L101</f>
        <v>85898142</v>
      </c>
      <c r="M79" s="672">
        <f t="shared" ref="M79:U79" si="30">+M80+M101</f>
        <v>37464316</v>
      </c>
      <c r="N79" s="672">
        <f t="shared" si="30"/>
        <v>0</v>
      </c>
      <c r="O79" s="621">
        <f t="shared" si="30"/>
        <v>123362458</v>
      </c>
      <c r="P79" s="621">
        <f t="shared" si="30"/>
        <v>0</v>
      </c>
      <c r="Q79" s="672">
        <f t="shared" si="30"/>
        <v>115760812</v>
      </c>
      <c r="R79" s="621">
        <f t="shared" si="30"/>
        <v>7601646.0000000009</v>
      </c>
      <c r="S79" s="672">
        <f t="shared" si="30"/>
        <v>0</v>
      </c>
      <c r="T79" s="672">
        <f t="shared" si="30"/>
        <v>580646077</v>
      </c>
      <c r="U79" s="621">
        <f t="shared" si="30"/>
        <v>382536297</v>
      </c>
      <c r="V79" s="673">
        <f t="shared" si="28"/>
        <v>0.65881147251770722</v>
      </c>
      <c r="X79" s="674">
        <f t="shared" si="27"/>
        <v>0</v>
      </c>
      <c r="Y79" s="674">
        <f t="shared" si="27"/>
        <v>0.93837958384389519</v>
      </c>
      <c r="Z79" s="674">
        <f t="shared" si="27"/>
        <v>6.1620416156104807E-2</v>
      </c>
      <c r="AA79" s="674">
        <f t="shared" si="26"/>
        <v>0</v>
      </c>
    </row>
    <row r="80" spans="1:27" s="663" customFormat="1" ht="22.5" hidden="1" customHeight="1" thickTop="1" thickBot="1" x14ac:dyDescent="0.3">
      <c r="A80" s="655">
        <v>1</v>
      </c>
      <c r="B80" s="656" t="s">
        <v>1343</v>
      </c>
      <c r="C80" s="656" t="s">
        <v>1343</v>
      </c>
      <c r="D80" s="656" t="s">
        <v>1350</v>
      </c>
      <c r="E80" s="656" t="s">
        <v>1354</v>
      </c>
      <c r="F80" s="656" t="s">
        <v>2138</v>
      </c>
      <c r="G80" s="657"/>
      <c r="H80" s="656"/>
      <c r="I80" s="656"/>
      <c r="J80" s="656"/>
      <c r="K80" s="658" t="s">
        <v>1277</v>
      </c>
      <c r="L80" s="659">
        <f>+L81+L85+L89+L93+L97</f>
        <v>0</v>
      </c>
      <c r="M80" s="659">
        <f t="shared" ref="M80:U80" si="31">+M81+M85+M89+M93+M97</f>
        <v>0</v>
      </c>
      <c r="N80" s="659">
        <f t="shared" si="31"/>
        <v>0</v>
      </c>
      <c r="O80" s="659">
        <f t="shared" si="31"/>
        <v>0</v>
      </c>
      <c r="P80" s="659">
        <f t="shared" si="31"/>
        <v>0</v>
      </c>
      <c r="Q80" s="659">
        <f t="shared" si="31"/>
        <v>0</v>
      </c>
      <c r="R80" s="659">
        <f t="shared" si="31"/>
        <v>0</v>
      </c>
      <c r="S80" s="659">
        <f t="shared" si="31"/>
        <v>0</v>
      </c>
      <c r="T80" s="659">
        <f t="shared" si="31"/>
        <v>0</v>
      </c>
      <c r="U80" s="659">
        <f t="shared" si="31"/>
        <v>0</v>
      </c>
      <c r="V80" s="660" t="e">
        <f t="shared" si="28"/>
        <v>#DIV/0!</v>
      </c>
      <c r="W80" s="661"/>
      <c r="X80" s="663" t="e">
        <f t="shared" si="27"/>
        <v>#DIV/0!</v>
      </c>
      <c r="Y80" s="663" t="e">
        <f t="shared" si="27"/>
        <v>#DIV/0!</v>
      </c>
      <c r="Z80" s="663" t="e">
        <f t="shared" si="27"/>
        <v>#DIV/0!</v>
      </c>
      <c r="AA80" s="663" t="e">
        <f t="shared" si="26"/>
        <v>#DIV/0!</v>
      </c>
    </row>
    <row r="81" spans="1:27" s="587" customFormat="1" ht="22.5" hidden="1" customHeight="1" thickTop="1" thickBot="1" x14ac:dyDescent="0.3">
      <c r="A81" s="633">
        <v>1</v>
      </c>
      <c r="B81" s="524" t="s">
        <v>1343</v>
      </c>
      <c r="C81" s="524" t="s">
        <v>1343</v>
      </c>
      <c r="D81" s="524" t="s">
        <v>1350</v>
      </c>
      <c r="E81" s="524" t="s">
        <v>1354</v>
      </c>
      <c r="F81" s="524" t="s">
        <v>2138</v>
      </c>
      <c r="G81" s="524" t="s">
        <v>1354</v>
      </c>
      <c r="H81" s="524"/>
      <c r="I81" s="524"/>
      <c r="J81" s="524"/>
      <c r="K81" s="634" t="s">
        <v>2139</v>
      </c>
      <c r="L81" s="635">
        <f>SUM(L82:L84)</f>
        <v>0</v>
      </c>
      <c r="M81" s="635">
        <f t="shared" ref="M81:U81" si="32">SUM(M82:M84)</f>
        <v>0</v>
      </c>
      <c r="N81" s="635">
        <f t="shared" si="32"/>
        <v>0</v>
      </c>
      <c r="O81" s="635">
        <f t="shared" si="32"/>
        <v>0</v>
      </c>
      <c r="P81" s="635">
        <f t="shared" si="32"/>
        <v>0</v>
      </c>
      <c r="Q81" s="635">
        <f t="shared" si="32"/>
        <v>0</v>
      </c>
      <c r="R81" s="635">
        <f t="shared" si="32"/>
        <v>0</v>
      </c>
      <c r="S81" s="635">
        <f t="shared" si="32"/>
        <v>0</v>
      </c>
      <c r="T81" s="635">
        <f t="shared" si="32"/>
        <v>0</v>
      </c>
      <c r="U81" s="635">
        <f t="shared" si="32"/>
        <v>0</v>
      </c>
      <c r="V81" s="636" t="e">
        <f t="shared" si="28"/>
        <v>#DIV/0!</v>
      </c>
      <c r="W81" s="637"/>
      <c r="X81" s="587" t="e">
        <f t="shared" si="27"/>
        <v>#DIV/0!</v>
      </c>
      <c r="Y81" s="587" t="e">
        <f t="shared" si="27"/>
        <v>#DIV/0!</v>
      </c>
      <c r="Z81" s="587" t="e">
        <f t="shared" si="27"/>
        <v>#DIV/0!</v>
      </c>
      <c r="AA81" s="587" t="e">
        <f t="shared" si="26"/>
        <v>#DIV/0!</v>
      </c>
    </row>
    <row r="82" spans="1:27" ht="22.5" hidden="1" customHeight="1" thickTop="1" thickBot="1" x14ac:dyDescent="0.3">
      <c r="A82" s="451">
        <v>1</v>
      </c>
      <c r="B82" s="450" t="s">
        <v>1343</v>
      </c>
      <c r="C82" s="450" t="s">
        <v>1343</v>
      </c>
      <c r="D82" s="450" t="s">
        <v>1350</v>
      </c>
      <c r="E82" s="450" t="s">
        <v>1354</v>
      </c>
      <c r="F82" s="450" t="s">
        <v>2138</v>
      </c>
      <c r="G82" s="450" t="s">
        <v>1354</v>
      </c>
      <c r="H82" s="450" t="s">
        <v>1343</v>
      </c>
      <c r="I82" s="450"/>
      <c r="J82" s="450"/>
      <c r="K82" s="647" t="s">
        <v>2140</v>
      </c>
      <c r="L82" s="641">
        <v>0</v>
      </c>
      <c r="M82" s="641"/>
      <c r="N82" s="641"/>
      <c r="O82" s="641">
        <f>+L82+M82-N82</f>
        <v>0</v>
      </c>
      <c r="P82" s="641"/>
      <c r="Q82" s="641"/>
      <c r="R82" s="641"/>
      <c r="S82" s="641"/>
      <c r="T82" s="641"/>
      <c r="U82" s="641"/>
      <c r="V82" s="648" t="e">
        <f t="shared" si="28"/>
        <v>#DIV/0!</v>
      </c>
      <c r="W82" s="644"/>
      <c r="X82" s="584" t="e">
        <f t="shared" si="27"/>
        <v>#DIV/0!</v>
      </c>
      <c r="Y82" s="584" t="e">
        <f t="shared" si="27"/>
        <v>#DIV/0!</v>
      </c>
      <c r="Z82" s="584" t="e">
        <f t="shared" si="27"/>
        <v>#DIV/0!</v>
      </c>
      <c r="AA82" s="584" t="e">
        <f t="shared" si="26"/>
        <v>#DIV/0!</v>
      </c>
    </row>
    <row r="83" spans="1:27" ht="22.5" hidden="1" customHeight="1" thickTop="1" thickBot="1" x14ac:dyDescent="0.3">
      <c r="A83" s="451">
        <v>1</v>
      </c>
      <c r="B83" s="450" t="s">
        <v>1343</v>
      </c>
      <c r="C83" s="450" t="s">
        <v>1343</v>
      </c>
      <c r="D83" s="450" t="s">
        <v>1350</v>
      </c>
      <c r="E83" s="450" t="s">
        <v>1354</v>
      </c>
      <c r="F83" s="450" t="s">
        <v>2138</v>
      </c>
      <c r="G83" s="450" t="s">
        <v>1354</v>
      </c>
      <c r="H83" s="450" t="s">
        <v>1413</v>
      </c>
      <c r="I83" s="450"/>
      <c r="J83" s="450"/>
      <c r="K83" s="647" t="s">
        <v>2141</v>
      </c>
      <c r="L83" s="641">
        <v>0</v>
      </c>
      <c r="M83" s="641"/>
      <c r="N83" s="641"/>
      <c r="O83" s="641">
        <f>+L83+M83-N83</f>
        <v>0</v>
      </c>
      <c r="P83" s="641"/>
      <c r="Q83" s="641"/>
      <c r="R83" s="641"/>
      <c r="S83" s="641"/>
      <c r="T83" s="641"/>
      <c r="U83" s="641"/>
      <c r="V83" s="648" t="e">
        <f t="shared" si="28"/>
        <v>#DIV/0!</v>
      </c>
      <c r="W83" s="644"/>
      <c r="X83" s="584" t="e">
        <f t="shared" si="27"/>
        <v>#DIV/0!</v>
      </c>
      <c r="Y83" s="584" t="e">
        <f t="shared" si="27"/>
        <v>#DIV/0!</v>
      </c>
      <c r="Z83" s="584" t="e">
        <f t="shared" si="27"/>
        <v>#DIV/0!</v>
      </c>
      <c r="AA83" s="584" t="e">
        <f t="shared" si="26"/>
        <v>#DIV/0!</v>
      </c>
    </row>
    <row r="84" spans="1:27" ht="22.5" hidden="1" customHeight="1" thickTop="1" thickBot="1" x14ac:dyDescent="0.3">
      <c r="A84" s="451">
        <v>1</v>
      </c>
      <c r="B84" s="450" t="s">
        <v>1343</v>
      </c>
      <c r="C84" s="450" t="s">
        <v>1343</v>
      </c>
      <c r="D84" s="450" t="s">
        <v>1350</v>
      </c>
      <c r="E84" s="450" t="s">
        <v>1354</v>
      </c>
      <c r="F84" s="450" t="s">
        <v>2138</v>
      </c>
      <c r="G84" s="450" t="s">
        <v>1354</v>
      </c>
      <c r="H84" s="450" t="s">
        <v>2076</v>
      </c>
      <c r="I84" s="450"/>
      <c r="J84" s="450"/>
      <c r="K84" s="647" t="s">
        <v>2142</v>
      </c>
      <c r="L84" s="641">
        <v>0</v>
      </c>
      <c r="M84" s="641"/>
      <c r="N84" s="641"/>
      <c r="O84" s="641">
        <f>+L84+M84-N84</f>
        <v>0</v>
      </c>
      <c r="P84" s="641"/>
      <c r="Q84" s="641"/>
      <c r="R84" s="641"/>
      <c r="S84" s="641"/>
      <c r="T84" s="641"/>
      <c r="U84" s="641"/>
      <c r="V84" s="648" t="e">
        <f t="shared" si="28"/>
        <v>#DIV/0!</v>
      </c>
      <c r="W84" s="644"/>
      <c r="X84" s="584" t="e">
        <f t="shared" si="27"/>
        <v>#DIV/0!</v>
      </c>
      <c r="Y84" s="584" t="e">
        <f t="shared" si="27"/>
        <v>#DIV/0!</v>
      </c>
      <c r="Z84" s="584" t="e">
        <f t="shared" si="27"/>
        <v>#DIV/0!</v>
      </c>
      <c r="AA84" s="584" t="e">
        <f t="shared" si="26"/>
        <v>#DIV/0!</v>
      </c>
    </row>
    <row r="85" spans="1:27" s="587" customFormat="1" ht="22.5" hidden="1" customHeight="1" thickTop="1" thickBot="1" x14ac:dyDescent="0.3">
      <c r="A85" s="633">
        <v>1</v>
      </c>
      <c r="B85" s="524" t="s">
        <v>1343</v>
      </c>
      <c r="C85" s="524" t="s">
        <v>1343</v>
      </c>
      <c r="D85" s="524" t="s">
        <v>1350</v>
      </c>
      <c r="E85" s="524" t="s">
        <v>1354</v>
      </c>
      <c r="F85" s="524" t="s">
        <v>2138</v>
      </c>
      <c r="G85" s="524" t="s">
        <v>1355</v>
      </c>
      <c r="H85" s="524"/>
      <c r="I85" s="524"/>
      <c r="J85" s="524"/>
      <c r="K85" s="634" t="s">
        <v>2143</v>
      </c>
      <c r="L85" s="635">
        <f>SUM(L86:L88)</f>
        <v>0</v>
      </c>
      <c r="M85" s="635">
        <f t="shared" ref="M85:U85" si="33">SUM(M86:M88)</f>
        <v>0</v>
      </c>
      <c r="N85" s="635">
        <f t="shared" si="33"/>
        <v>0</v>
      </c>
      <c r="O85" s="635">
        <f t="shared" si="33"/>
        <v>0</v>
      </c>
      <c r="P85" s="635">
        <f t="shared" si="33"/>
        <v>0</v>
      </c>
      <c r="Q85" s="635">
        <f t="shared" si="33"/>
        <v>0</v>
      </c>
      <c r="R85" s="635">
        <f t="shared" si="33"/>
        <v>0</v>
      </c>
      <c r="S85" s="635">
        <f t="shared" si="33"/>
        <v>0</v>
      </c>
      <c r="T85" s="635">
        <f t="shared" si="33"/>
        <v>0</v>
      </c>
      <c r="U85" s="635">
        <f t="shared" si="33"/>
        <v>0</v>
      </c>
      <c r="V85" s="636" t="e">
        <f t="shared" si="28"/>
        <v>#DIV/0!</v>
      </c>
      <c r="W85" s="637"/>
      <c r="X85" s="587" t="e">
        <f t="shared" si="27"/>
        <v>#DIV/0!</v>
      </c>
      <c r="Y85" s="587" t="e">
        <f t="shared" si="27"/>
        <v>#DIV/0!</v>
      </c>
      <c r="Z85" s="587" t="e">
        <f t="shared" si="27"/>
        <v>#DIV/0!</v>
      </c>
      <c r="AA85" s="587" t="e">
        <f t="shared" si="26"/>
        <v>#DIV/0!</v>
      </c>
    </row>
    <row r="86" spans="1:27" ht="22.5" hidden="1" customHeight="1" thickTop="1" thickBot="1" x14ac:dyDescent="0.3">
      <c r="A86" s="451">
        <v>1</v>
      </c>
      <c r="B86" s="450" t="s">
        <v>1343</v>
      </c>
      <c r="C86" s="450" t="s">
        <v>1343</v>
      </c>
      <c r="D86" s="450" t="s">
        <v>1350</v>
      </c>
      <c r="E86" s="450" t="s">
        <v>1354</v>
      </c>
      <c r="F86" s="450" t="s">
        <v>2138</v>
      </c>
      <c r="G86" s="450" t="s">
        <v>1355</v>
      </c>
      <c r="H86" s="450" t="s">
        <v>1343</v>
      </c>
      <c r="I86" s="450"/>
      <c r="J86" s="450"/>
      <c r="K86" s="647" t="s">
        <v>2144</v>
      </c>
      <c r="L86" s="641">
        <v>0</v>
      </c>
      <c r="M86" s="641"/>
      <c r="N86" s="641"/>
      <c r="O86" s="641">
        <f>+L86+M86-N86</f>
        <v>0</v>
      </c>
      <c r="P86" s="641"/>
      <c r="Q86" s="641"/>
      <c r="R86" s="641"/>
      <c r="S86" s="641"/>
      <c r="T86" s="641"/>
      <c r="U86" s="641"/>
      <c r="V86" s="648" t="e">
        <f t="shared" si="28"/>
        <v>#DIV/0!</v>
      </c>
      <c r="W86" s="644"/>
      <c r="X86" s="584" t="e">
        <f t="shared" si="27"/>
        <v>#DIV/0!</v>
      </c>
      <c r="Y86" s="584" t="e">
        <f t="shared" si="27"/>
        <v>#DIV/0!</v>
      </c>
      <c r="Z86" s="584" t="e">
        <f t="shared" si="27"/>
        <v>#DIV/0!</v>
      </c>
      <c r="AA86" s="584" t="e">
        <f t="shared" si="26"/>
        <v>#DIV/0!</v>
      </c>
    </row>
    <row r="87" spans="1:27" ht="22.5" hidden="1" customHeight="1" thickTop="1" thickBot="1" x14ac:dyDescent="0.3">
      <c r="A87" s="451">
        <v>1</v>
      </c>
      <c r="B87" s="450" t="s">
        <v>1343</v>
      </c>
      <c r="C87" s="450" t="s">
        <v>1343</v>
      </c>
      <c r="D87" s="450" t="s">
        <v>1350</v>
      </c>
      <c r="E87" s="450" t="s">
        <v>1354</v>
      </c>
      <c r="F87" s="450" t="s">
        <v>2138</v>
      </c>
      <c r="G87" s="450" t="s">
        <v>1355</v>
      </c>
      <c r="H87" s="450" t="s">
        <v>1413</v>
      </c>
      <c r="I87" s="450"/>
      <c r="J87" s="450"/>
      <c r="K87" s="647" t="s">
        <v>2145</v>
      </c>
      <c r="L87" s="641">
        <v>0</v>
      </c>
      <c r="M87" s="641"/>
      <c r="N87" s="641"/>
      <c r="O87" s="641">
        <f>+L87+M87-N87</f>
        <v>0</v>
      </c>
      <c r="P87" s="641"/>
      <c r="Q87" s="641"/>
      <c r="R87" s="641"/>
      <c r="S87" s="641"/>
      <c r="T87" s="641"/>
      <c r="U87" s="641"/>
      <c r="V87" s="648" t="e">
        <f t="shared" si="28"/>
        <v>#DIV/0!</v>
      </c>
      <c r="W87" s="644"/>
      <c r="X87" s="584" t="e">
        <f t="shared" si="27"/>
        <v>#DIV/0!</v>
      </c>
      <c r="Y87" s="584" t="e">
        <f t="shared" si="27"/>
        <v>#DIV/0!</v>
      </c>
      <c r="Z87" s="584" t="e">
        <f t="shared" si="27"/>
        <v>#DIV/0!</v>
      </c>
      <c r="AA87" s="584" t="e">
        <f t="shared" si="26"/>
        <v>#DIV/0!</v>
      </c>
    </row>
    <row r="88" spans="1:27" ht="22.5" hidden="1" customHeight="1" thickTop="1" thickBot="1" x14ac:dyDescent="0.3">
      <c r="A88" s="451">
        <v>1</v>
      </c>
      <c r="B88" s="450" t="s">
        <v>1343</v>
      </c>
      <c r="C88" s="450" t="s">
        <v>1343</v>
      </c>
      <c r="D88" s="450" t="s">
        <v>1350</v>
      </c>
      <c r="E88" s="450" t="s">
        <v>1354</v>
      </c>
      <c r="F88" s="450" t="s">
        <v>2138</v>
      </c>
      <c r="G88" s="450" t="s">
        <v>1355</v>
      </c>
      <c r="H88" s="450" t="s">
        <v>2076</v>
      </c>
      <c r="I88" s="450"/>
      <c r="J88" s="450"/>
      <c r="K88" s="647" t="s">
        <v>2146</v>
      </c>
      <c r="L88" s="641">
        <v>0</v>
      </c>
      <c r="M88" s="641"/>
      <c r="N88" s="641"/>
      <c r="O88" s="641">
        <f>+L88+M88-N88</f>
        <v>0</v>
      </c>
      <c r="P88" s="641"/>
      <c r="Q88" s="641"/>
      <c r="R88" s="641"/>
      <c r="S88" s="641"/>
      <c r="T88" s="641"/>
      <c r="U88" s="641"/>
      <c r="V88" s="648" t="e">
        <f t="shared" si="28"/>
        <v>#DIV/0!</v>
      </c>
      <c r="W88" s="644"/>
      <c r="X88" s="584" t="e">
        <f t="shared" si="27"/>
        <v>#DIV/0!</v>
      </c>
      <c r="Y88" s="584" t="e">
        <f t="shared" si="27"/>
        <v>#DIV/0!</v>
      </c>
      <c r="Z88" s="584" t="e">
        <f t="shared" si="27"/>
        <v>#DIV/0!</v>
      </c>
      <c r="AA88" s="584" t="e">
        <f t="shared" si="26"/>
        <v>#DIV/0!</v>
      </c>
    </row>
    <row r="89" spans="1:27" s="587" customFormat="1" ht="22.5" hidden="1" customHeight="1" thickTop="1" thickBot="1" x14ac:dyDescent="0.3">
      <c r="A89" s="633">
        <v>1</v>
      </c>
      <c r="B89" s="524" t="s">
        <v>1343</v>
      </c>
      <c r="C89" s="524" t="s">
        <v>1343</v>
      </c>
      <c r="D89" s="524" t="s">
        <v>1350</v>
      </c>
      <c r="E89" s="524" t="s">
        <v>1354</v>
      </c>
      <c r="F89" s="524" t="s">
        <v>2138</v>
      </c>
      <c r="G89" s="524" t="s">
        <v>1358</v>
      </c>
      <c r="H89" s="524"/>
      <c r="I89" s="524"/>
      <c r="J89" s="524"/>
      <c r="K89" s="634" t="s">
        <v>2147</v>
      </c>
      <c r="L89" s="635">
        <f>SUM(L90:L92)</f>
        <v>0</v>
      </c>
      <c r="M89" s="635">
        <f t="shared" ref="M89:U89" si="34">SUM(M90:M92)</f>
        <v>0</v>
      </c>
      <c r="N89" s="635">
        <f t="shared" si="34"/>
        <v>0</v>
      </c>
      <c r="O89" s="635">
        <f t="shared" si="34"/>
        <v>0</v>
      </c>
      <c r="P89" s="635">
        <f t="shared" si="34"/>
        <v>0</v>
      </c>
      <c r="Q89" s="635">
        <f t="shared" si="34"/>
        <v>0</v>
      </c>
      <c r="R89" s="635">
        <f t="shared" si="34"/>
        <v>0</v>
      </c>
      <c r="S89" s="635">
        <f t="shared" si="34"/>
        <v>0</v>
      </c>
      <c r="T89" s="635">
        <f t="shared" si="34"/>
        <v>0</v>
      </c>
      <c r="U89" s="635">
        <f t="shared" si="34"/>
        <v>0</v>
      </c>
      <c r="V89" s="636" t="e">
        <f t="shared" si="28"/>
        <v>#DIV/0!</v>
      </c>
      <c r="W89" s="637"/>
      <c r="X89" s="587" t="e">
        <f t="shared" si="27"/>
        <v>#DIV/0!</v>
      </c>
      <c r="Y89" s="587" t="e">
        <f t="shared" si="27"/>
        <v>#DIV/0!</v>
      </c>
      <c r="Z89" s="587" t="e">
        <f t="shared" si="27"/>
        <v>#DIV/0!</v>
      </c>
      <c r="AA89" s="587" t="e">
        <f t="shared" si="26"/>
        <v>#DIV/0!</v>
      </c>
    </row>
    <row r="90" spans="1:27" ht="22.5" hidden="1" customHeight="1" thickTop="1" thickBot="1" x14ac:dyDescent="0.3">
      <c r="A90" s="451">
        <v>1</v>
      </c>
      <c r="B90" s="450" t="s">
        <v>1343</v>
      </c>
      <c r="C90" s="450" t="s">
        <v>1343</v>
      </c>
      <c r="D90" s="450" t="s">
        <v>1350</v>
      </c>
      <c r="E90" s="450" t="s">
        <v>1354</v>
      </c>
      <c r="F90" s="450" t="s">
        <v>2138</v>
      </c>
      <c r="G90" s="450" t="s">
        <v>1358</v>
      </c>
      <c r="H90" s="450" t="s">
        <v>1343</v>
      </c>
      <c r="I90" s="450"/>
      <c r="J90" s="450"/>
      <c r="K90" s="647" t="s">
        <v>2148</v>
      </c>
      <c r="L90" s="641">
        <v>0</v>
      </c>
      <c r="M90" s="641"/>
      <c r="N90" s="641"/>
      <c r="O90" s="641">
        <f>+L90+M90-N90</f>
        <v>0</v>
      </c>
      <c r="P90" s="641"/>
      <c r="Q90" s="641"/>
      <c r="R90" s="641"/>
      <c r="S90" s="641"/>
      <c r="T90" s="641"/>
      <c r="U90" s="641"/>
      <c r="V90" s="648" t="e">
        <f t="shared" si="28"/>
        <v>#DIV/0!</v>
      </c>
      <c r="W90" s="644"/>
      <c r="X90" s="584" t="e">
        <f t="shared" si="27"/>
        <v>#DIV/0!</v>
      </c>
      <c r="Y90" s="584" t="e">
        <f t="shared" si="27"/>
        <v>#DIV/0!</v>
      </c>
      <c r="Z90" s="584" t="e">
        <f t="shared" si="27"/>
        <v>#DIV/0!</v>
      </c>
      <c r="AA90" s="584" t="e">
        <f t="shared" si="26"/>
        <v>#DIV/0!</v>
      </c>
    </row>
    <row r="91" spans="1:27" ht="22.5" hidden="1" customHeight="1" thickTop="1" thickBot="1" x14ac:dyDescent="0.3">
      <c r="A91" s="451">
        <v>1</v>
      </c>
      <c r="B91" s="450" t="s">
        <v>1343</v>
      </c>
      <c r="C91" s="450" t="s">
        <v>1343</v>
      </c>
      <c r="D91" s="450" t="s">
        <v>1350</v>
      </c>
      <c r="E91" s="450" t="s">
        <v>1354</v>
      </c>
      <c r="F91" s="450" t="s">
        <v>2138</v>
      </c>
      <c r="G91" s="450" t="s">
        <v>1358</v>
      </c>
      <c r="H91" s="450" t="s">
        <v>1413</v>
      </c>
      <c r="I91" s="450"/>
      <c r="J91" s="450"/>
      <c r="K91" s="647" t="s">
        <v>2149</v>
      </c>
      <c r="L91" s="641">
        <v>0</v>
      </c>
      <c r="M91" s="641"/>
      <c r="N91" s="641"/>
      <c r="O91" s="641">
        <f>+L91+M91-N91</f>
        <v>0</v>
      </c>
      <c r="P91" s="641"/>
      <c r="Q91" s="641"/>
      <c r="R91" s="641"/>
      <c r="S91" s="641"/>
      <c r="T91" s="641"/>
      <c r="U91" s="641"/>
      <c r="V91" s="648" t="e">
        <f t="shared" si="28"/>
        <v>#DIV/0!</v>
      </c>
      <c r="W91" s="644"/>
      <c r="X91" s="584" t="e">
        <f t="shared" si="27"/>
        <v>#DIV/0!</v>
      </c>
      <c r="Y91" s="584" t="e">
        <f t="shared" si="27"/>
        <v>#DIV/0!</v>
      </c>
      <c r="Z91" s="584" t="e">
        <f t="shared" si="27"/>
        <v>#DIV/0!</v>
      </c>
      <c r="AA91" s="584" t="e">
        <f t="shared" si="26"/>
        <v>#DIV/0!</v>
      </c>
    </row>
    <row r="92" spans="1:27" ht="22.5" hidden="1" customHeight="1" thickTop="1" thickBot="1" x14ac:dyDescent="0.3">
      <c r="A92" s="451">
        <v>1</v>
      </c>
      <c r="B92" s="450" t="s">
        <v>1343</v>
      </c>
      <c r="C92" s="450" t="s">
        <v>1343</v>
      </c>
      <c r="D92" s="450" t="s">
        <v>1350</v>
      </c>
      <c r="E92" s="450" t="s">
        <v>1354</v>
      </c>
      <c r="F92" s="450" t="s">
        <v>2138</v>
      </c>
      <c r="G92" s="450" t="s">
        <v>1358</v>
      </c>
      <c r="H92" s="450" t="s">
        <v>2076</v>
      </c>
      <c r="I92" s="450"/>
      <c r="J92" s="450"/>
      <c r="K92" s="647" t="s">
        <v>2150</v>
      </c>
      <c r="L92" s="641">
        <v>0</v>
      </c>
      <c r="M92" s="641"/>
      <c r="N92" s="641"/>
      <c r="O92" s="641">
        <f>+L92+M92-N92</f>
        <v>0</v>
      </c>
      <c r="P92" s="641"/>
      <c r="Q92" s="641"/>
      <c r="R92" s="641"/>
      <c r="S92" s="641"/>
      <c r="T92" s="641"/>
      <c r="U92" s="641"/>
      <c r="V92" s="648" t="e">
        <f t="shared" si="28"/>
        <v>#DIV/0!</v>
      </c>
      <c r="W92" s="644"/>
      <c r="X92" s="584" t="e">
        <f t="shared" si="27"/>
        <v>#DIV/0!</v>
      </c>
      <c r="Y92" s="584" t="e">
        <f t="shared" si="27"/>
        <v>#DIV/0!</v>
      </c>
      <c r="Z92" s="584" t="e">
        <f t="shared" si="27"/>
        <v>#DIV/0!</v>
      </c>
      <c r="AA92" s="584" t="e">
        <f t="shared" si="26"/>
        <v>#DIV/0!</v>
      </c>
    </row>
    <row r="93" spans="1:27" s="587" customFormat="1" ht="22.5" hidden="1" customHeight="1" thickTop="1" thickBot="1" x14ac:dyDescent="0.3">
      <c r="A93" s="633">
        <v>1</v>
      </c>
      <c r="B93" s="524" t="s">
        <v>1343</v>
      </c>
      <c r="C93" s="524" t="s">
        <v>1343</v>
      </c>
      <c r="D93" s="524" t="s">
        <v>1350</v>
      </c>
      <c r="E93" s="524" t="s">
        <v>1354</v>
      </c>
      <c r="F93" s="524" t="s">
        <v>2138</v>
      </c>
      <c r="G93" s="524" t="s">
        <v>2151</v>
      </c>
      <c r="H93" s="524"/>
      <c r="I93" s="524"/>
      <c r="J93" s="524"/>
      <c r="K93" s="634" t="s">
        <v>2152</v>
      </c>
      <c r="L93" s="635">
        <f>SUM(L94:L96)</f>
        <v>0</v>
      </c>
      <c r="M93" s="635">
        <f t="shared" ref="M93:U93" si="35">SUM(M94:M96)</f>
        <v>0</v>
      </c>
      <c r="N93" s="635">
        <f t="shared" si="35"/>
        <v>0</v>
      </c>
      <c r="O93" s="635">
        <f t="shared" si="35"/>
        <v>0</v>
      </c>
      <c r="P93" s="635">
        <f t="shared" si="35"/>
        <v>0</v>
      </c>
      <c r="Q93" s="635">
        <f t="shared" si="35"/>
        <v>0</v>
      </c>
      <c r="R93" s="635">
        <f t="shared" si="35"/>
        <v>0</v>
      </c>
      <c r="S93" s="635">
        <f t="shared" si="35"/>
        <v>0</v>
      </c>
      <c r="T93" s="635">
        <f t="shared" si="35"/>
        <v>0</v>
      </c>
      <c r="U93" s="635">
        <f t="shared" si="35"/>
        <v>0</v>
      </c>
      <c r="V93" s="636" t="e">
        <f t="shared" si="28"/>
        <v>#DIV/0!</v>
      </c>
      <c r="W93" s="637"/>
      <c r="X93" s="587" t="e">
        <f t="shared" si="27"/>
        <v>#DIV/0!</v>
      </c>
      <c r="Y93" s="587" t="e">
        <f t="shared" si="27"/>
        <v>#DIV/0!</v>
      </c>
      <c r="Z93" s="587" t="e">
        <f t="shared" si="27"/>
        <v>#DIV/0!</v>
      </c>
      <c r="AA93" s="587" t="e">
        <f t="shared" si="26"/>
        <v>#DIV/0!</v>
      </c>
    </row>
    <row r="94" spans="1:27" ht="22.5" hidden="1" customHeight="1" thickTop="1" thickBot="1" x14ac:dyDescent="0.3">
      <c r="A94" s="451">
        <v>1</v>
      </c>
      <c r="B94" s="450" t="s">
        <v>1343</v>
      </c>
      <c r="C94" s="450" t="s">
        <v>1343</v>
      </c>
      <c r="D94" s="450" t="s">
        <v>1350</v>
      </c>
      <c r="E94" s="450" t="s">
        <v>1354</v>
      </c>
      <c r="F94" s="450" t="s">
        <v>2138</v>
      </c>
      <c r="G94" s="450" t="s">
        <v>2151</v>
      </c>
      <c r="H94" s="450" t="s">
        <v>1343</v>
      </c>
      <c r="I94" s="450"/>
      <c r="J94" s="450"/>
      <c r="K94" s="647" t="s">
        <v>2153</v>
      </c>
      <c r="L94" s="641">
        <v>0</v>
      </c>
      <c r="M94" s="641"/>
      <c r="N94" s="641"/>
      <c r="O94" s="641">
        <f>+L94+M94-N94</f>
        <v>0</v>
      </c>
      <c r="P94" s="641"/>
      <c r="Q94" s="641"/>
      <c r="R94" s="641"/>
      <c r="S94" s="641"/>
      <c r="T94" s="641"/>
      <c r="U94" s="641"/>
      <c r="V94" s="648" t="e">
        <f t="shared" si="28"/>
        <v>#DIV/0!</v>
      </c>
      <c r="W94" s="644"/>
      <c r="X94" s="584" t="e">
        <f t="shared" si="27"/>
        <v>#DIV/0!</v>
      </c>
      <c r="Y94" s="584" t="e">
        <f t="shared" si="27"/>
        <v>#DIV/0!</v>
      </c>
      <c r="Z94" s="584" t="e">
        <f t="shared" si="27"/>
        <v>#DIV/0!</v>
      </c>
      <c r="AA94" s="584" t="e">
        <f t="shared" si="26"/>
        <v>#DIV/0!</v>
      </c>
    </row>
    <row r="95" spans="1:27" ht="22.5" hidden="1" customHeight="1" thickTop="1" thickBot="1" x14ac:dyDescent="0.3">
      <c r="A95" s="451">
        <v>1</v>
      </c>
      <c r="B95" s="450" t="s">
        <v>1343</v>
      </c>
      <c r="C95" s="450" t="s">
        <v>1343</v>
      </c>
      <c r="D95" s="450" t="s">
        <v>1350</v>
      </c>
      <c r="E95" s="450" t="s">
        <v>1354</v>
      </c>
      <c r="F95" s="450" t="s">
        <v>2138</v>
      </c>
      <c r="G95" s="450" t="s">
        <v>2151</v>
      </c>
      <c r="H95" s="450" t="s">
        <v>1413</v>
      </c>
      <c r="I95" s="450"/>
      <c r="J95" s="450"/>
      <c r="K95" s="647" t="s">
        <v>2154</v>
      </c>
      <c r="L95" s="641">
        <v>0</v>
      </c>
      <c r="M95" s="641"/>
      <c r="N95" s="641"/>
      <c r="O95" s="641">
        <f>+L95+M95-N95</f>
        <v>0</v>
      </c>
      <c r="P95" s="641"/>
      <c r="Q95" s="641"/>
      <c r="R95" s="641"/>
      <c r="S95" s="641"/>
      <c r="T95" s="641"/>
      <c r="U95" s="641"/>
      <c r="V95" s="648" t="e">
        <f t="shared" si="28"/>
        <v>#DIV/0!</v>
      </c>
      <c r="W95" s="644"/>
      <c r="X95" s="584" t="e">
        <f t="shared" si="27"/>
        <v>#DIV/0!</v>
      </c>
      <c r="Y95" s="584" t="e">
        <f t="shared" si="27"/>
        <v>#DIV/0!</v>
      </c>
      <c r="Z95" s="584" t="e">
        <f t="shared" si="27"/>
        <v>#DIV/0!</v>
      </c>
      <c r="AA95" s="584" t="e">
        <f t="shared" si="26"/>
        <v>#DIV/0!</v>
      </c>
    </row>
    <row r="96" spans="1:27" ht="22.5" hidden="1" customHeight="1" thickTop="1" thickBot="1" x14ac:dyDescent="0.3">
      <c r="A96" s="451">
        <v>1</v>
      </c>
      <c r="B96" s="450" t="s">
        <v>1343</v>
      </c>
      <c r="C96" s="450" t="s">
        <v>1343</v>
      </c>
      <c r="D96" s="450" t="s">
        <v>1350</v>
      </c>
      <c r="E96" s="450" t="s">
        <v>1354</v>
      </c>
      <c r="F96" s="450" t="s">
        <v>2138</v>
      </c>
      <c r="G96" s="450" t="s">
        <v>2151</v>
      </c>
      <c r="H96" s="450" t="s">
        <v>2076</v>
      </c>
      <c r="I96" s="450"/>
      <c r="J96" s="450"/>
      <c r="K96" s="647" t="s">
        <v>2155</v>
      </c>
      <c r="L96" s="641"/>
      <c r="M96" s="641"/>
      <c r="N96" s="641"/>
      <c r="O96" s="641">
        <f>+L96+M96-N96</f>
        <v>0</v>
      </c>
      <c r="P96" s="641"/>
      <c r="Q96" s="641"/>
      <c r="R96" s="641"/>
      <c r="S96" s="641"/>
      <c r="T96" s="641"/>
      <c r="U96" s="641"/>
      <c r="V96" s="648" t="e">
        <f t="shared" si="28"/>
        <v>#DIV/0!</v>
      </c>
      <c r="W96" s="644"/>
      <c r="X96" s="584" t="e">
        <f t="shared" si="27"/>
        <v>#DIV/0!</v>
      </c>
      <c r="Y96" s="584" t="e">
        <f t="shared" si="27"/>
        <v>#DIV/0!</v>
      </c>
      <c r="Z96" s="584" t="e">
        <f t="shared" si="27"/>
        <v>#DIV/0!</v>
      </c>
      <c r="AA96" s="584" t="e">
        <f t="shared" si="26"/>
        <v>#DIV/0!</v>
      </c>
    </row>
    <row r="97" spans="1:27" s="587" customFormat="1" ht="22.5" hidden="1" customHeight="1" thickTop="1" thickBot="1" x14ac:dyDescent="0.3">
      <c r="A97" s="633">
        <v>1</v>
      </c>
      <c r="B97" s="524" t="s">
        <v>1343</v>
      </c>
      <c r="C97" s="524" t="s">
        <v>1343</v>
      </c>
      <c r="D97" s="524" t="s">
        <v>1350</v>
      </c>
      <c r="E97" s="524" t="s">
        <v>1354</v>
      </c>
      <c r="F97" s="524" t="s">
        <v>2138</v>
      </c>
      <c r="G97" s="524" t="s">
        <v>2156</v>
      </c>
      <c r="H97" s="524"/>
      <c r="I97" s="524"/>
      <c r="J97" s="524"/>
      <c r="K97" s="634" t="s">
        <v>1363</v>
      </c>
      <c r="L97" s="635">
        <f>SUM(L98:L100)</f>
        <v>0</v>
      </c>
      <c r="M97" s="635">
        <f t="shared" ref="M97:U97" si="36">SUM(M98:M100)</f>
        <v>0</v>
      </c>
      <c r="N97" s="635">
        <f t="shared" si="36"/>
        <v>0</v>
      </c>
      <c r="O97" s="635">
        <f t="shared" si="36"/>
        <v>0</v>
      </c>
      <c r="P97" s="635">
        <f t="shared" si="36"/>
        <v>0</v>
      </c>
      <c r="Q97" s="635">
        <f t="shared" si="36"/>
        <v>0</v>
      </c>
      <c r="R97" s="635">
        <f t="shared" si="36"/>
        <v>0</v>
      </c>
      <c r="S97" s="635">
        <f t="shared" si="36"/>
        <v>0</v>
      </c>
      <c r="T97" s="635">
        <f t="shared" si="36"/>
        <v>0</v>
      </c>
      <c r="U97" s="635">
        <f t="shared" si="36"/>
        <v>0</v>
      </c>
      <c r="V97" s="636" t="e">
        <f t="shared" si="28"/>
        <v>#DIV/0!</v>
      </c>
      <c r="W97" s="637"/>
      <c r="X97" s="587" t="e">
        <f t="shared" si="27"/>
        <v>#DIV/0!</v>
      </c>
      <c r="Y97" s="587" t="e">
        <f t="shared" si="27"/>
        <v>#DIV/0!</v>
      </c>
      <c r="Z97" s="587" t="e">
        <f t="shared" si="27"/>
        <v>#DIV/0!</v>
      </c>
      <c r="AA97" s="587" t="e">
        <f t="shared" si="26"/>
        <v>#DIV/0!</v>
      </c>
    </row>
    <row r="98" spans="1:27" ht="22.5" hidden="1" customHeight="1" thickTop="1" thickBot="1" x14ac:dyDescent="0.3">
      <c r="A98" s="451">
        <v>1</v>
      </c>
      <c r="B98" s="450" t="s">
        <v>1343</v>
      </c>
      <c r="C98" s="450" t="s">
        <v>1343</v>
      </c>
      <c r="D98" s="450" t="s">
        <v>1350</v>
      </c>
      <c r="E98" s="450" t="s">
        <v>1354</v>
      </c>
      <c r="F98" s="450" t="s">
        <v>2138</v>
      </c>
      <c r="G98" s="450" t="s">
        <v>2156</v>
      </c>
      <c r="H98" s="450" t="s">
        <v>1343</v>
      </c>
      <c r="I98" s="450"/>
      <c r="J98" s="450"/>
      <c r="K98" s="647" t="s">
        <v>2157</v>
      </c>
      <c r="L98" s="641">
        <v>0</v>
      </c>
      <c r="M98" s="641"/>
      <c r="N98" s="641"/>
      <c r="O98" s="641">
        <f>+L98+M98-N98</f>
        <v>0</v>
      </c>
      <c r="P98" s="641">
        <f>+O98*90%</f>
        <v>0</v>
      </c>
      <c r="Q98" s="641"/>
      <c r="R98" s="641">
        <f>+O98*10%</f>
        <v>0</v>
      </c>
      <c r="S98" s="641"/>
      <c r="T98" s="641"/>
      <c r="U98" s="641"/>
      <c r="V98" s="648" t="e">
        <f t="shared" si="28"/>
        <v>#DIV/0!</v>
      </c>
      <c r="W98" s="644"/>
      <c r="X98" s="584" t="e">
        <f t="shared" si="27"/>
        <v>#DIV/0!</v>
      </c>
      <c r="Y98" s="584" t="e">
        <f t="shared" si="27"/>
        <v>#DIV/0!</v>
      </c>
      <c r="Z98" s="584" t="e">
        <f t="shared" si="27"/>
        <v>#DIV/0!</v>
      </c>
      <c r="AA98" s="584" t="e">
        <f t="shared" si="26"/>
        <v>#DIV/0!</v>
      </c>
    </row>
    <row r="99" spans="1:27" ht="22.5" hidden="1" customHeight="1" thickTop="1" thickBot="1" x14ac:dyDescent="0.3">
      <c r="A99" s="451">
        <v>1</v>
      </c>
      <c r="B99" s="450" t="s">
        <v>1343</v>
      </c>
      <c r="C99" s="450" t="s">
        <v>1343</v>
      </c>
      <c r="D99" s="450" t="s">
        <v>1350</v>
      </c>
      <c r="E99" s="450" t="s">
        <v>1354</v>
      </c>
      <c r="F99" s="450" t="s">
        <v>2138</v>
      </c>
      <c r="G99" s="450" t="s">
        <v>2156</v>
      </c>
      <c r="H99" s="450" t="s">
        <v>1413</v>
      </c>
      <c r="I99" s="450"/>
      <c r="J99" s="450"/>
      <c r="K99" s="647" t="s">
        <v>2158</v>
      </c>
      <c r="L99" s="641">
        <v>0</v>
      </c>
      <c r="M99" s="641"/>
      <c r="N99" s="641"/>
      <c r="O99" s="641">
        <f>+L99+M99-N99</f>
        <v>0</v>
      </c>
      <c r="P99" s="641">
        <f>+O99*90%</f>
        <v>0</v>
      </c>
      <c r="Q99" s="641"/>
      <c r="R99" s="641">
        <f>+O99*10%</f>
        <v>0</v>
      </c>
      <c r="S99" s="641"/>
      <c r="T99" s="641"/>
      <c r="U99" s="641"/>
      <c r="V99" s="648" t="e">
        <f t="shared" si="28"/>
        <v>#DIV/0!</v>
      </c>
      <c r="W99" s="644"/>
      <c r="X99" s="584" t="e">
        <f t="shared" si="27"/>
        <v>#DIV/0!</v>
      </c>
      <c r="Y99" s="584" t="e">
        <f t="shared" si="27"/>
        <v>#DIV/0!</v>
      </c>
      <c r="Z99" s="584" t="e">
        <f t="shared" si="27"/>
        <v>#DIV/0!</v>
      </c>
      <c r="AA99" s="584" t="e">
        <f t="shared" si="26"/>
        <v>#DIV/0!</v>
      </c>
    </row>
    <row r="100" spans="1:27" ht="22.5" hidden="1" customHeight="1" thickTop="1" thickBot="1" x14ac:dyDescent="0.3">
      <c r="A100" s="451">
        <v>1</v>
      </c>
      <c r="B100" s="450" t="s">
        <v>1343</v>
      </c>
      <c r="C100" s="450" t="s">
        <v>1343</v>
      </c>
      <c r="D100" s="450" t="s">
        <v>1350</v>
      </c>
      <c r="E100" s="450" t="s">
        <v>1354</v>
      </c>
      <c r="F100" s="450" t="s">
        <v>2138</v>
      </c>
      <c r="G100" s="450" t="s">
        <v>2156</v>
      </c>
      <c r="H100" s="450" t="s">
        <v>2076</v>
      </c>
      <c r="I100" s="450"/>
      <c r="J100" s="450"/>
      <c r="K100" s="647" t="s">
        <v>2159</v>
      </c>
      <c r="L100" s="641">
        <v>0</v>
      </c>
      <c r="M100" s="641"/>
      <c r="N100" s="641"/>
      <c r="O100" s="641">
        <f>+L100+M100-N100</f>
        <v>0</v>
      </c>
      <c r="P100" s="641"/>
      <c r="Q100" s="641"/>
      <c r="R100" s="641"/>
      <c r="S100" s="641"/>
      <c r="T100" s="641"/>
      <c r="U100" s="641"/>
      <c r="V100" s="648" t="e">
        <f t="shared" si="28"/>
        <v>#DIV/0!</v>
      </c>
      <c r="W100" s="644"/>
      <c r="X100" s="584" t="e">
        <f t="shared" si="27"/>
        <v>#DIV/0!</v>
      </c>
      <c r="Y100" s="584" t="e">
        <f t="shared" si="27"/>
        <v>#DIV/0!</v>
      </c>
      <c r="Z100" s="584" t="e">
        <f t="shared" si="27"/>
        <v>#DIV/0!</v>
      </c>
      <c r="AA100" s="584" t="e">
        <f t="shared" si="26"/>
        <v>#DIV/0!</v>
      </c>
    </row>
    <row r="101" spans="1:27" s="663" customFormat="1" ht="22.5" customHeight="1" thickTop="1" thickBot="1" x14ac:dyDescent="0.3">
      <c r="A101" s="655">
        <v>1</v>
      </c>
      <c r="B101" s="656" t="s">
        <v>1343</v>
      </c>
      <c r="C101" s="656" t="s">
        <v>1343</v>
      </c>
      <c r="D101" s="656" t="s">
        <v>1350</v>
      </c>
      <c r="E101" s="656" t="s">
        <v>1354</v>
      </c>
      <c r="F101" s="656" t="s">
        <v>2160</v>
      </c>
      <c r="G101" s="656"/>
      <c r="H101" s="656"/>
      <c r="I101" s="656"/>
      <c r="J101" s="656"/>
      <c r="K101" s="658" t="s">
        <v>1364</v>
      </c>
      <c r="L101" s="659">
        <f t="shared" ref="L101:U101" si="37">SUM(L102:L105)</f>
        <v>85898142</v>
      </c>
      <c r="M101" s="659">
        <f t="shared" si="37"/>
        <v>37464316</v>
      </c>
      <c r="N101" s="659">
        <f t="shared" si="37"/>
        <v>0</v>
      </c>
      <c r="O101" s="659">
        <f t="shared" si="37"/>
        <v>123362458</v>
      </c>
      <c r="P101" s="659">
        <f t="shared" si="37"/>
        <v>0</v>
      </c>
      <c r="Q101" s="659">
        <f t="shared" si="37"/>
        <v>115760812</v>
      </c>
      <c r="R101" s="659">
        <f t="shared" si="37"/>
        <v>7601646.0000000009</v>
      </c>
      <c r="S101" s="659">
        <f t="shared" si="37"/>
        <v>0</v>
      </c>
      <c r="T101" s="659">
        <f t="shared" si="37"/>
        <v>580646077</v>
      </c>
      <c r="U101" s="659">
        <f t="shared" si="37"/>
        <v>382536297</v>
      </c>
      <c r="V101" s="660">
        <f t="shared" si="28"/>
        <v>0.65881147251770722</v>
      </c>
      <c r="W101" s="661"/>
      <c r="X101" s="662">
        <f t="shared" si="27"/>
        <v>0</v>
      </c>
      <c r="Y101" s="662">
        <f t="shared" si="27"/>
        <v>0.93837958384389519</v>
      </c>
      <c r="Z101" s="662">
        <f t="shared" si="27"/>
        <v>6.1620416156104807E-2</v>
      </c>
      <c r="AA101" s="662">
        <f t="shared" si="26"/>
        <v>0</v>
      </c>
    </row>
    <row r="102" spans="1:27" s="663" customFormat="1" ht="22.5" customHeight="1" thickTop="1" thickBot="1" x14ac:dyDescent="0.3">
      <c r="A102" s="675">
        <v>1</v>
      </c>
      <c r="B102" s="676" t="s">
        <v>1343</v>
      </c>
      <c r="C102" s="676" t="s">
        <v>1343</v>
      </c>
      <c r="D102" s="676" t="s">
        <v>1350</v>
      </c>
      <c r="E102" s="676" t="s">
        <v>1354</v>
      </c>
      <c r="F102" s="676" t="s">
        <v>2160</v>
      </c>
      <c r="G102" s="676" t="s">
        <v>1343</v>
      </c>
      <c r="H102" s="677"/>
      <c r="I102" s="677"/>
      <c r="J102" s="677"/>
      <c r="K102" s="639" t="s">
        <v>2161</v>
      </c>
      <c r="L102" s="640">
        <v>47346000</v>
      </c>
      <c r="M102" s="649">
        <v>0</v>
      </c>
      <c r="N102" s="649">
        <v>0</v>
      </c>
      <c r="O102" s="642">
        <f>+L102+M102-N102</f>
        <v>47346000</v>
      </c>
      <c r="P102" s="678"/>
      <c r="Q102" s="642">
        <v>47346000</v>
      </c>
      <c r="R102" s="642"/>
      <c r="S102" s="678"/>
      <c r="T102" s="642">
        <v>503584965</v>
      </c>
      <c r="U102" s="642">
        <v>297458946</v>
      </c>
      <c r="V102" s="679"/>
      <c r="W102" s="680"/>
      <c r="X102" s="662">
        <f t="shared" si="27"/>
        <v>0</v>
      </c>
      <c r="Y102" s="662">
        <f t="shared" si="27"/>
        <v>1</v>
      </c>
      <c r="Z102" s="662">
        <f t="shared" si="27"/>
        <v>0</v>
      </c>
      <c r="AA102" s="662">
        <f t="shared" si="26"/>
        <v>0</v>
      </c>
    </row>
    <row r="103" spans="1:27" s="663" customFormat="1" ht="22.5" customHeight="1" thickTop="1" thickBot="1" x14ac:dyDescent="0.3">
      <c r="A103" s="675">
        <v>1</v>
      </c>
      <c r="B103" s="676" t="s">
        <v>1343</v>
      </c>
      <c r="C103" s="676" t="s">
        <v>1343</v>
      </c>
      <c r="D103" s="676" t="s">
        <v>1350</v>
      </c>
      <c r="E103" s="676" t="s">
        <v>1354</v>
      </c>
      <c r="F103" s="676" t="s">
        <v>2160</v>
      </c>
      <c r="G103" s="676" t="s">
        <v>1413</v>
      </c>
      <c r="H103" s="677"/>
      <c r="I103" s="677"/>
      <c r="J103" s="677"/>
      <c r="K103" s="639" t="s">
        <v>2162</v>
      </c>
      <c r="L103" s="642">
        <v>27995885</v>
      </c>
      <c r="M103" s="678">
        <v>6252009</v>
      </c>
      <c r="N103" s="678">
        <v>0</v>
      </c>
      <c r="O103" s="642">
        <f>+L103+M103-N103</f>
        <v>34247894</v>
      </c>
      <c r="P103" s="678"/>
      <c r="Q103" s="642">
        <v>30823104</v>
      </c>
      <c r="R103" s="642">
        <f>+O103*10%-0.4+1</f>
        <v>3424790.0000000005</v>
      </c>
      <c r="S103" s="678"/>
      <c r="T103" s="642">
        <v>34848691</v>
      </c>
      <c r="U103" s="642">
        <v>41569913</v>
      </c>
      <c r="V103" s="679"/>
      <c r="W103" s="681"/>
      <c r="X103" s="662">
        <f t="shared" si="27"/>
        <v>0</v>
      </c>
      <c r="Y103" s="662">
        <f t="shared" si="27"/>
        <v>0.89999998248067459</v>
      </c>
      <c r="Z103" s="662">
        <f>+R103/$O103</f>
        <v>0.10000001751932544</v>
      </c>
      <c r="AA103" s="662">
        <f t="shared" si="26"/>
        <v>0</v>
      </c>
    </row>
    <row r="104" spans="1:27" s="663" customFormat="1" ht="22.5" customHeight="1" thickTop="1" thickBot="1" x14ac:dyDescent="0.3">
      <c r="A104" s="675">
        <v>1</v>
      </c>
      <c r="B104" s="676" t="s">
        <v>1343</v>
      </c>
      <c r="C104" s="676" t="s">
        <v>1343</v>
      </c>
      <c r="D104" s="676" t="s">
        <v>1350</v>
      </c>
      <c r="E104" s="676" t="s">
        <v>1354</v>
      </c>
      <c r="F104" s="676" t="s">
        <v>2160</v>
      </c>
      <c r="G104" s="676" t="s">
        <v>2076</v>
      </c>
      <c r="H104" s="677"/>
      <c r="I104" s="677"/>
      <c r="J104" s="677"/>
      <c r="K104" s="682" t="s">
        <v>2163</v>
      </c>
      <c r="L104" s="640">
        <v>9750000</v>
      </c>
      <c r="M104" s="649">
        <v>24913454</v>
      </c>
      <c r="N104" s="649">
        <v>0</v>
      </c>
      <c r="O104" s="668">
        <f>+L104+M104-N104</f>
        <v>34663454</v>
      </c>
      <c r="P104" s="683"/>
      <c r="Q104" s="668">
        <f>+O104-R104</f>
        <v>31197109</v>
      </c>
      <c r="R104" s="642">
        <f>+O104*10%-0.4</f>
        <v>3466345.0000000005</v>
      </c>
      <c r="S104" s="683"/>
      <c r="T104" s="668">
        <v>33889720</v>
      </c>
      <c r="U104" s="668">
        <v>35137750</v>
      </c>
      <c r="V104" s="684"/>
      <c r="W104" s="685"/>
      <c r="X104" s="662">
        <f t="shared" si="27"/>
        <v>0</v>
      </c>
      <c r="Y104" s="662">
        <f t="shared" si="27"/>
        <v>0.90000001153953091</v>
      </c>
      <c r="Z104" s="662">
        <f>+R104/$O104</f>
        <v>9.9999988460469078E-2</v>
      </c>
      <c r="AA104" s="662">
        <f t="shared" si="26"/>
        <v>0</v>
      </c>
    </row>
    <row r="105" spans="1:27" s="663" customFormat="1" ht="22.5" customHeight="1" thickTop="1" thickBot="1" x14ac:dyDescent="0.3">
      <c r="A105" s="675">
        <v>1</v>
      </c>
      <c r="B105" s="676" t="s">
        <v>1343</v>
      </c>
      <c r="C105" s="676" t="s">
        <v>1343</v>
      </c>
      <c r="D105" s="676" t="s">
        <v>1350</v>
      </c>
      <c r="E105" s="676" t="s">
        <v>1354</v>
      </c>
      <c r="F105" s="676" t="s">
        <v>2160</v>
      </c>
      <c r="G105" s="676" t="s">
        <v>2164</v>
      </c>
      <c r="H105" s="677"/>
      <c r="I105" s="677"/>
      <c r="J105" s="677"/>
      <c r="K105" s="682" t="s">
        <v>2165</v>
      </c>
      <c r="L105" s="640">
        <v>806257</v>
      </c>
      <c r="M105" s="649">
        <v>6298853</v>
      </c>
      <c r="N105" s="649">
        <v>0</v>
      </c>
      <c r="O105" s="668">
        <f>+L105+M105-N105</f>
        <v>7105110</v>
      </c>
      <c r="P105" s="683"/>
      <c r="Q105" s="668">
        <f>+O105-R105</f>
        <v>6394599</v>
      </c>
      <c r="R105" s="642">
        <f>+O105*10%</f>
        <v>710511</v>
      </c>
      <c r="S105" s="683"/>
      <c r="T105" s="668">
        <v>8322701</v>
      </c>
      <c r="U105" s="668">
        <v>8369688</v>
      </c>
      <c r="V105" s="684"/>
      <c r="W105" s="685"/>
      <c r="X105" s="662">
        <f t="shared" si="27"/>
        <v>0</v>
      </c>
      <c r="Y105" s="662">
        <f t="shared" si="27"/>
        <v>0.9</v>
      </c>
      <c r="Z105" s="662">
        <f t="shared" si="27"/>
        <v>0.1</v>
      </c>
      <c r="AA105" s="662">
        <f t="shared" si="26"/>
        <v>0</v>
      </c>
    </row>
    <row r="106" spans="1:27" s="619" customFormat="1" ht="22.5" hidden="1" customHeight="1" thickTop="1" thickBot="1" x14ac:dyDescent="0.3">
      <c r="A106" s="619">
        <v>1</v>
      </c>
      <c r="B106" s="619" t="s">
        <v>1343</v>
      </c>
      <c r="C106" s="619" t="s">
        <v>1343</v>
      </c>
      <c r="D106" s="619" t="s">
        <v>1350</v>
      </c>
      <c r="E106" s="619" t="s">
        <v>1358</v>
      </c>
      <c r="K106" s="623" t="s">
        <v>2166</v>
      </c>
      <c r="L106" s="621">
        <f>+L107+L152</f>
        <v>0</v>
      </c>
      <c r="M106" s="672">
        <f t="shared" ref="M106:U106" si="38">+M107+M152</f>
        <v>0</v>
      </c>
      <c r="N106" s="672">
        <f t="shared" si="38"/>
        <v>0</v>
      </c>
      <c r="O106" s="621">
        <f t="shared" si="38"/>
        <v>0</v>
      </c>
      <c r="P106" s="672">
        <f t="shared" si="38"/>
        <v>0</v>
      </c>
      <c r="Q106" s="672">
        <f t="shared" si="38"/>
        <v>0</v>
      </c>
      <c r="R106" s="672">
        <f t="shared" si="38"/>
        <v>0</v>
      </c>
      <c r="S106" s="672">
        <f t="shared" si="38"/>
        <v>0</v>
      </c>
      <c r="T106" s="672">
        <f t="shared" si="38"/>
        <v>0</v>
      </c>
      <c r="U106" s="672">
        <f t="shared" si="38"/>
        <v>0</v>
      </c>
      <c r="V106" s="673" t="e">
        <f t="shared" si="28"/>
        <v>#DIV/0!</v>
      </c>
      <c r="X106" s="619" t="e">
        <f t="shared" si="27"/>
        <v>#DIV/0!</v>
      </c>
      <c r="Y106" s="619" t="e">
        <f t="shared" si="27"/>
        <v>#DIV/0!</v>
      </c>
      <c r="Z106" s="619" t="e">
        <f t="shared" si="27"/>
        <v>#DIV/0!</v>
      </c>
      <c r="AA106" s="619" t="e">
        <f t="shared" si="26"/>
        <v>#DIV/0!</v>
      </c>
    </row>
    <row r="107" spans="1:27" s="663" customFormat="1" ht="22.5" hidden="1" customHeight="1" thickTop="1" thickBot="1" x14ac:dyDescent="0.3">
      <c r="A107" s="655">
        <v>1</v>
      </c>
      <c r="B107" s="656" t="s">
        <v>1343</v>
      </c>
      <c r="C107" s="656" t="s">
        <v>1343</v>
      </c>
      <c r="D107" s="656" t="s">
        <v>1350</v>
      </c>
      <c r="E107" s="656" t="s">
        <v>1358</v>
      </c>
      <c r="F107" s="656" t="s">
        <v>2138</v>
      </c>
      <c r="G107" s="656"/>
      <c r="H107" s="656"/>
      <c r="I107" s="656"/>
      <c r="J107" s="656"/>
      <c r="K107" s="658" t="s">
        <v>2167</v>
      </c>
      <c r="L107" s="659">
        <f>+L108+L112+L116+L120+L124+L128+L132+L136+L140+L144+L148</f>
        <v>0</v>
      </c>
      <c r="M107" s="659">
        <f t="shared" ref="M107:U107" si="39">+M108+M112+M116+M120+M124+M128+M132+M136+M140+M144+M148</f>
        <v>0</v>
      </c>
      <c r="N107" s="659">
        <f t="shared" si="39"/>
        <v>0</v>
      </c>
      <c r="O107" s="659">
        <f t="shared" si="39"/>
        <v>0</v>
      </c>
      <c r="P107" s="659">
        <f t="shared" si="39"/>
        <v>0</v>
      </c>
      <c r="Q107" s="659">
        <f t="shared" si="39"/>
        <v>0</v>
      </c>
      <c r="R107" s="659">
        <f t="shared" si="39"/>
        <v>0</v>
      </c>
      <c r="S107" s="659">
        <f t="shared" si="39"/>
        <v>0</v>
      </c>
      <c r="T107" s="659">
        <f t="shared" si="39"/>
        <v>0</v>
      </c>
      <c r="U107" s="659">
        <f t="shared" si="39"/>
        <v>0</v>
      </c>
      <c r="V107" s="660" t="e">
        <f t="shared" si="28"/>
        <v>#DIV/0!</v>
      </c>
      <c r="W107" s="661"/>
      <c r="X107" s="663" t="e">
        <f t="shared" si="27"/>
        <v>#DIV/0!</v>
      </c>
      <c r="Y107" s="663" t="e">
        <f t="shared" si="27"/>
        <v>#DIV/0!</v>
      </c>
      <c r="Z107" s="663" t="e">
        <f t="shared" si="27"/>
        <v>#DIV/0!</v>
      </c>
      <c r="AA107" s="663" t="e">
        <f t="shared" si="26"/>
        <v>#DIV/0!</v>
      </c>
    </row>
    <row r="108" spans="1:27" s="587" customFormat="1" ht="22.5" hidden="1" customHeight="1" thickTop="1" thickBot="1" x14ac:dyDescent="0.3">
      <c r="A108" s="633">
        <v>1</v>
      </c>
      <c r="B108" s="524" t="s">
        <v>1343</v>
      </c>
      <c r="C108" s="524" t="s">
        <v>1343</v>
      </c>
      <c r="D108" s="524" t="s">
        <v>1350</v>
      </c>
      <c r="E108" s="524" t="s">
        <v>1358</v>
      </c>
      <c r="F108" s="524" t="s">
        <v>2138</v>
      </c>
      <c r="G108" s="524" t="s">
        <v>2168</v>
      </c>
      <c r="H108" s="524"/>
      <c r="I108" s="524"/>
      <c r="J108" s="524"/>
      <c r="K108" s="634" t="s">
        <v>1365</v>
      </c>
      <c r="L108" s="635">
        <f>SUM(L109:L111)</f>
        <v>0</v>
      </c>
      <c r="M108" s="635">
        <f t="shared" ref="M108:U108" si="40">SUM(M109:M111)</f>
        <v>0</v>
      </c>
      <c r="N108" s="635">
        <f t="shared" si="40"/>
        <v>0</v>
      </c>
      <c r="O108" s="635">
        <f t="shared" si="40"/>
        <v>0</v>
      </c>
      <c r="P108" s="635">
        <f t="shared" si="40"/>
        <v>0</v>
      </c>
      <c r="Q108" s="635">
        <f t="shared" si="40"/>
        <v>0</v>
      </c>
      <c r="R108" s="635">
        <f t="shared" si="40"/>
        <v>0</v>
      </c>
      <c r="S108" s="635">
        <f t="shared" si="40"/>
        <v>0</v>
      </c>
      <c r="T108" s="635">
        <f t="shared" si="40"/>
        <v>0</v>
      </c>
      <c r="U108" s="635">
        <f t="shared" si="40"/>
        <v>0</v>
      </c>
      <c r="V108" s="636" t="e">
        <f t="shared" si="28"/>
        <v>#DIV/0!</v>
      </c>
      <c r="W108" s="637"/>
      <c r="X108" s="587" t="e">
        <f t="shared" si="27"/>
        <v>#DIV/0!</v>
      </c>
      <c r="Y108" s="587" t="e">
        <f t="shared" si="27"/>
        <v>#DIV/0!</v>
      </c>
      <c r="Z108" s="587" t="e">
        <f t="shared" si="27"/>
        <v>#DIV/0!</v>
      </c>
      <c r="AA108" s="587" t="e">
        <f t="shared" si="26"/>
        <v>#DIV/0!</v>
      </c>
    </row>
    <row r="109" spans="1:27" ht="22.5" hidden="1" customHeight="1" thickTop="1" thickBot="1" x14ac:dyDescent="0.3">
      <c r="A109" s="451">
        <v>1</v>
      </c>
      <c r="B109" s="450" t="s">
        <v>1343</v>
      </c>
      <c r="C109" s="450" t="s">
        <v>1343</v>
      </c>
      <c r="D109" s="450" t="s">
        <v>1350</v>
      </c>
      <c r="E109" s="450" t="s">
        <v>1358</v>
      </c>
      <c r="F109" s="450" t="s">
        <v>2138</v>
      </c>
      <c r="G109" s="450" t="s">
        <v>2168</v>
      </c>
      <c r="H109" s="450" t="s">
        <v>1343</v>
      </c>
      <c r="I109" s="450"/>
      <c r="J109" s="450"/>
      <c r="K109" s="647" t="s">
        <v>2169</v>
      </c>
      <c r="L109" s="641"/>
      <c r="M109" s="641"/>
      <c r="N109" s="641"/>
      <c r="O109" s="641">
        <f>+L109+M109-N109</f>
        <v>0</v>
      </c>
      <c r="P109" s="641"/>
      <c r="Q109" s="641"/>
      <c r="R109" s="641"/>
      <c r="S109" s="641"/>
      <c r="T109" s="641"/>
      <c r="U109" s="641"/>
      <c r="V109" s="648" t="e">
        <f t="shared" si="28"/>
        <v>#DIV/0!</v>
      </c>
      <c r="W109" s="644"/>
      <c r="X109" s="584" t="e">
        <f t="shared" si="27"/>
        <v>#DIV/0!</v>
      </c>
      <c r="Y109" s="584" t="e">
        <f t="shared" si="27"/>
        <v>#DIV/0!</v>
      </c>
      <c r="Z109" s="584" t="e">
        <f t="shared" si="27"/>
        <v>#DIV/0!</v>
      </c>
      <c r="AA109" s="584" t="e">
        <f t="shared" si="26"/>
        <v>#DIV/0!</v>
      </c>
    </row>
    <row r="110" spans="1:27" ht="22.5" hidden="1" customHeight="1" thickTop="1" thickBot="1" x14ac:dyDescent="0.3">
      <c r="A110" s="451">
        <v>1</v>
      </c>
      <c r="B110" s="450" t="s">
        <v>1343</v>
      </c>
      <c r="C110" s="450" t="s">
        <v>1343</v>
      </c>
      <c r="D110" s="450" t="s">
        <v>1350</v>
      </c>
      <c r="E110" s="450" t="s">
        <v>1358</v>
      </c>
      <c r="F110" s="450" t="s">
        <v>2138</v>
      </c>
      <c r="G110" s="450" t="s">
        <v>2168</v>
      </c>
      <c r="H110" s="450" t="s">
        <v>1413</v>
      </c>
      <c r="I110" s="450"/>
      <c r="J110" s="450"/>
      <c r="K110" s="647" t="s">
        <v>2170</v>
      </c>
      <c r="L110" s="641"/>
      <c r="M110" s="641"/>
      <c r="N110" s="641"/>
      <c r="O110" s="641">
        <f>+L110+M110-N110</f>
        <v>0</v>
      </c>
      <c r="P110" s="641"/>
      <c r="Q110" s="641"/>
      <c r="R110" s="641"/>
      <c r="S110" s="641"/>
      <c r="T110" s="641"/>
      <c r="U110" s="641"/>
      <c r="V110" s="648" t="e">
        <f t="shared" si="28"/>
        <v>#DIV/0!</v>
      </c>
      <c r="W110" s="644"/>
      <c r="X110" s="584" t="e">
        <f t="shared" si="27"/>
        <v>#DIV/0!</v>
      </c>
      <c r="Y110" s="584" t="e">
        <f t="shared" si="27"/>
        <v>#DIV/0!</v>
      </c>
      <c r="Z110" s="584" t="e">
        <f t="shared" si="27"/>
        <v>#DIV/0!</v>
      </c>
      <c r="AA110" s="584" t="e">
        <f t="shared" si="26"/>
        <v>#DIV/0!</v>
      </c>
    </row>
    <row r="111" spans="1:27" ht="22.5" hidden="1" customHeight="1" thickTop="1" thickBot="1" x14ac:dyDescent="0.3">
      <c r="A111" s="451">
        <v>1</v>
      </c>
      <c r="B111" s="450" t="s">
        <v>1343</v>
      </c>
      <c r="C111" s="450" t="s">
        <v>1343</v>
      </c>
      <c r="D111" s="450" t="s">
        <v>1350</v>
      </c>
      <c r="E111" s="450" t="s">
        <v>1358</v>
      </c>
      <c r="F111" s="450" t="s">
        <v>2138</v>
      </c>
      <c r="G111" s="450" t="s">
        <v>2168</v>
      </c>
      <c r="H111" s="450" t="s">
        <v>2076</v>
      </c>
      <c r="I111" s="450"/>
      <c r="J111" s="450"/>
      <c r="K111" s="647" t="s">
        <v>2171</v>
      </c>
      <c r="L111" s="641"/>
      <c r="M111" s="641"/>
      <c r="N111" s="641"/>
      <c r="O111" s="641">
        <f>+L111+M111-N111</f>
        <v>0</v>
      </c>
      <c r="P111" s="641"/>
      <c r="Q111" s="641"/>
      <c r="R111" s="641"/>
      <c r="S111" s="641"/>
      <c r="T111" s="641"/>
      <c r="U111" s="641"/>
      <c r="V111" s="648" t="e">
        <f t="shared" si="28"/>
        <v>#DIV/0!</v>
      </c>
      <c r="W111" s="644"/>
      <c r="X111" s="584" t="e">
        <f t="shared" si="27"/>
        <v>#DIV/0!</v>
      </c>
      <c r="Y111" s="584" t="e">
        <f t="shared" si="27"/>
        <v>#DIV/0!</v>
      </c>
      <c r="Z111" s="584" t="e">
        <f t="shared" si="27"/>
        <v>#DIV/0!</v>
      </c>
      <c r="AA111" s="584" t="e">
        <f t="shared" si="26"/>
        <v>#DIV/0!</v>
      </c>
    </row>
    <row r="112" spans="1:27" s="587" customFormat="1" ht="22.5" hidden="1" customHeight="1" thickTop="1" thickBot="1" x14ac:dyDescent="0.3">
      <c r="A112" s="633">
        <v>1</v>
      </c>
      <c r="B112" s="524" t="s">
        <v>1343</v>
      </c>
      <c r="C112" s="524" t="s">
        <v>1343</v>
      </c>
      <c r="D112" s="524" t="s">
        <v>1350</v>
      </c>
      <c r="E112" s="524" t="s">
        <v>1358</v>
      </c>
      <c r="F112" s="524" t="s">
        <v>2138</v>
      </c>
      <c r="G112" s="524" t="s">
        <v>1345</v>
      </c>
      <c r="H112" s="524"/>
      <c r="I112" s="524"/>
      <c r="J112" s="524"/>
      <c r="K112" s="634" t="s">
        <v>2172</v>
      </c>
      <c r="L112" s="635">
        <f>SUM(L113:L115)</f>
        <v>0</v>
      </c>
      <c r="M112" s="635">
        <f t="shared" ref="M112:U112" si="41">SUM(M113:M115)</f>
        <v>0</v>
      </c>
      <c r="N112" s="635">
        <f t="shared" si="41"/>
        <v>0</v>
      </c>
      <c r="O112" s="635">
        <f t="shared" si="41"/>
        <v>0</v>
      </c>
      <c r="P112" s="635">
        <f t="shared" si="41"/>
        <v>0</v>
      </c>
      <c r="Q112" s="635">
        <f t="shared" si="41"/>
        <v>0</v>
      </c>
      <c r="R112" s="635">
        <f t="shared" si="41"/>
        <v>0</v>
      </c>
      <c r="S112" s="635">
        <f t="shared" si="41"/>
        <v>0</v>
      </c>
      <c r="T112" s="635">
        <f t="shared" si="41"/>
        <v>0</v>
      </c>
      <c r="U112" s="635">
        <f t="shared" si="41"/>
        <v>0</v>
      </c>
      <c r="V112" s="636" t="e">
        <f t="shared" si="28"/>
        <v>#DIV/0!</v>
      </c>
      <c r="W112" s="637"/>
      <c r="X112" s="587" t="e">
        <f t="shared" si="27"/>
        <v>#DIV/0!</v>
      </c>
      <c r="Y112" s="587" t="e">
        <f t="shared" si="27"/>
        <v>#DIV/0!</v>
      </c>
      <c r="Z112" s="587" t="e">
        <f t="shared" si="27"/>
        <v>#DIV/0!</v>
      </c>
      <c r="AA112" s="587" t="e">
        <f t="shared" si="26"/>
        <v>#DIV/0!</v>
      </c>
    </row>
    <row r="113" spans="1:27" ht="22.5" hidden="1" customHeight="1" thickTop="1" thickBot="1" x14ac:dyDescent="0.3">
      <c r="A113" s="451">
        <v>1</v>
      </c>
      <c r="B113" s="450" t="s">
        <v>1343</v>
      </c>
      <c r="C113" s="450" t="s">
        <v>1343</v>
      </c>
      <c r="D113" s="450" t="s">
        <v>1350</v>
      </c>
      <c r="E113" s="450" t="s">
        <v>1358</v>
      </c>
      <c r="F113" s="450" t="s">
        <v>2138</v>
      </c>
      <c r="G113" s="450" t="s">
        <v>1345</v>
      </c>
      <c r="H113" s="450" t="s">
        <v>1343</v>
      </c>
      <c r="I113" s="450"/>
      <c r="J113" s="450"/>
      <c r="K113" s="647" t="s">
        <v>2173</v>
      </c>
      <c r="L113" s="641"/>
      <c r="M113" s="641"/>
      <c r="N113" s="641"/>
      <c r="O113" s="641">
        <f>+L113+M113-N113</f>
        <v>0</v>
      </c>
      <c r="P113" s="641"/>
      <c r="Q113" s="641"/>
      <c r="R113" s="641"/>
      <c r="S113" s="641"/>
      <c r="T113" s="641"/>
      <c r="U113" s="641"/>
      <c r="V113" s="648" t="e">
        <f t="shared" si="28"/>
        <v>#DIV/0!</v>
      </c>
      <c r="W113" s="644"/>
      <c r="X113" s="584" t="e">
        <f t="shared" si="27"/>
        <v>#DIV/0!</v>
      </c>
      <c r="Y113" s="584" t="e">
        <f t="shared" si="27"/>
        <v>#DIV/0!</v>
      </c>
      <c r="Z113" s="584" t="e">
        <f t="shared" si="27"/>
        <v>#DIV/0!</v>
      </c>
      <c r="AA113" s="584" t="e">
        <f t="shared" si="26"/>
        <v>#DIV/0!</v>
      </c>
    </row>
    <row r="114" spans="1:27" ht="22.5" hidden="1" customHeight="1" thickTop="1" thickBot="1" x14ac:dyDescent="0.3">
      <c r="A114" s="451">
        <v>1</v>
      </c>
      <c r="B114" s="450" t="s">
        <v>1343</v>
      </c>
      <c r="C114" s="450" t="s">
        <v>1343</v>
      </c>
      <c r="D114" s="450" t="s">
        <v>1350</v>
      </c>
      <c r="E114" s="450" t="s">
        <v>1358</v>
      </c>
      <c r="F114" s="450" t="s">
        <v>2138</v>
      </c>
      <c r="G114" s="450" t="s">
        <v>1345</v>
      </c>
      <c r="H114" s="450" t="s">
        <v>1413</v>
      </c>
      <c r="I114" s="450"/>
      <c r="J114" s="450"/>
      <c r="K114" s="647" t="s">
        <v>2174</v>
      </c>
      <c r="L114" s="641"/>
      <c r="M114" s="641"/>
      <c r="N114" s="641"/>
      <c r="O114" s="641">
        <f>+L114+M114-N114</f>
        <v>0</v>
      </c>
      <c r="P114" s="641"/>
      <c r="Q114" s="641"/>
      <c r="R114" s="641"/>
      <c r="S114" s="641"/>
      <c r="T114" s="641"/>
      <c r="U114" s="641"/>
      <c r="V114" s="648" t="e">
        <f t="shared" si="28"/>
        <v>#DIV/0!</v>
      </c>
      <c r="W114" s="644"/>
      <c r="X114" s="584" t="e">
        <f t="shared" si="27"/>
        <v>#DIV/0!</v>
      </c>
      <c r="Y114" s="584" t="e">
        <f t="shared" si="27"/>
        <v>#DIV/0!</v>
      </c>
      <c r="Z114" s="584" t="e">
        <f t="shared" si="27"/>
        <v>#DIV/0!</v>
      </c>
      <c r="AA114" s="584" t="e">
        <f t="shared" si="26"/>
        <v>#DIV/0!</v>
      </c>
    </row>
    <row r="115" spans="1:27" ht="22.5" hidden="1" customHeight="1" thickTop="1" thickBot="1" x14ac:dyDescent="0.3">
      <c r="A115" s="451">
        <v>1</v>
      </c>
      <c r="B115" s="450" t="s">
        <v>1343</v>
      </c>
      <c r="C115" s="450" t="s">
        <v>1343</v>
      </c>
      <c r="D115" s="450" t="s">
        <v>1350</v>
      </c>
      <c r="E115" s="450" t="s">
        <v>1358</v>
      </c>
      <c r="F115" s="450" t="s">
        <v>2138</v>
      </c>
      <c r="G115" s="450" t="s">
        <v>1345</v>
      </c>
      <c r="H115" s="450" t="s">
        <v>2076</v>
      </c>
      <c r="I115" s="450"/>
      <c r="J115" s="450"/>
      <c r="K115" s="647" t="s">
        <v>2175</v>
      </c>
      <c r="L115" s="641"/>
      <c r="M115" s="641"/>
      <c r="N115" s="641"/>
      <c r="O115" s="641">
        <f>+L115+M115-N115</f>
        <v>0</v>
      </c>
      <c r="P115" s="641"/>
      <c r="Q115" s="641"/>
      <c r="R115" s="641"/>
      <c r="S115" s="641"/>
      <c r="T115" s="641"/>
      <c r="U115" s="641"/>
      <c r="V115" s="648" t="e">
        <f t="shared" si="28"/>
        <v>#DIV/0!</v>
      </c>
      <c r="W115" s="644"/>
      <c r="X115" s="584" t="e">
        <f t="shared" si="27"/>
        <v>#DIV/0!</v>
      </c>
      <c r="Y115" s="584" t="e">
        <f t="shared" si="27"/>
        <v>#DIV/0!</v>
      </c>
      <c r="Z115" s="584" t="e">
        <f t="shared" si="27"/>
        <v>#DIV/0!</v>
      </c>
      <c r="AA115" s="584" t="e">
        <f t="shared" si="26"/>
        <v>#DIV/0!</v>
      </c>
    </row>
    <row r="116" spans="1:27" s="587" customFormat="1" ht="22.5" hidden="1" customHeight="1" thickTop="1" thickBot="1" x14ac:dyDescent="0.3">
      <c r="A116" s="633">
        <v>1</v>
      </c>
      <c r="B116" s="524" t="s">
        <v>1343</v>
      </c>
      <c r="C116" s="524" t="s">
        <v>1343</v>
      </c>
      <c r="D116" s="524" t="s">
        <v>1350</v>
      </c>
      <c r="E116" s="524" t="s">
        <v>1358</v>
      </c>
      <c r="F116" s="524" t="s">
        <v>2138</v>
      </c>
      <c r="G116" s="524" t="s">
        <v>1350</v>
      </c>
      <c r="H116" s="524"/>
      <c r="I116" s="524"/>
      <c r="J116" s="524"/>
      <c r="K116" s="634" t="s">
        <v>2176</v>
      </c>
      <c r="L116" s="635">
        <f>SUM(L117:L119)</f>
        <v>0</v>
      </c>
      <c r="M116" s="635">
        <f t="shared" ref="M116:U116" si="42">SUM(M117:M119)</f>
        <v>0</v>
      </c>
      <c r="N116" s="635">
        <f t="shared" si="42"/>
        <v>0</v>
      </c>
      <c r="O116" s="635">
        <f t="shared" si="42"/>
        <v>0</v>
      </c>
      <c r="P116" s="635">
        <f t="shared" si="42"/>
        <v>0</v>
      </c>
      <c r="Q116" s="635">
        <f t="shared" si="42"/>
        <v>0</v>
      </c>
      <c r="R116" s="635">
        <f t="shared" si="42"/>
        <v>0</v>
      </c>
      <c r="S116" s="635">
        <f t="shared" si="42"/>
        <v>0</v>
      </c>
      <c r="T116" s="635">
        <f t="shared" si="42"/>
        <v>0</v>
      </c>
      <c r="U116" s="635">
        <f t="shared" si="42"/>
        <v>0</v>
      </c>
      <c r="V116" s="636" t="e">
        <f t="shared" si="28"/>
        <v>#DIV/0!</v>
      </c>
      <c r="W116" s="637"/>
      <c r="X116" s="587" t="e">
        <f t="shared" si="27"/>
        <v>#DIV/0!</v>
      </c>
      <c r="Y116" s="587" t="e">
        <f t="shared" si="27"/>
        <v>#DIV/0!</v>
      </c>
      <c r="Z116" s="587" t="e">
        <f t="shared" si="27"/>
        <v>#DIV/0!</v>
      </c>
      <c r="AA116" s="587" t="e">
        <f t="shared" si="26"/>
        <v>#DIV/0!</v>
      </c>
    </row>
    <row r="117" spans="1:27" ht="22.5" hidden="1" customHeight="1" thickTop="1" thickBot="1" x14ac:dyDescent="0.3">
      <c r="A117" s="451">
        <v>1</v>
      </c>
      <c r="B117" s="450" t="s">
        <v>1343</v>
      </c>
      <c r="C117" s="450" t="s">
        <v>1343</v>
      </c>
      <c r="D117" s="450" t="s">
        <v>1350</v>
      </c>
      <c r="E117" s="450" t="s">
        <v>1358</v>
      </c>
      <c r="F117" s="450" t="s">
        <v>2138</v>
      </c>
      <c r="G117" s="450" t="s">
        <v>1350</v>
      </c>
      <c r="H117" s="450" t="s">
        <v>1343</v>
      </c>
      <c r="I117" s="450"/>
      <c r="J117" s="450"/>
      <c r="K117" s="647" t="s">
        <v>2177</v>
      </c>
      <c r="L117" s="641"/>
      <c r="M117" s="641"/>
      <c r="N117" s="641"/>
      <c r="O117" s="641">
        <f>+L117+M117-N117</f>
        <v>0</v>
      </c>
      <c r="P117" s="641"/>
      <c r="Q117" s="641"/>
      <c r="R117" s="641"/>
      <c r="S117" s="641"/>
      <c r="T117" s="641"/>
      <c r="U117" s="641"/>
      <c r="V117" s="648" t="e">
        <f t="shared" si="28"/>
        <v>#DIV/0!</v>
      </c>
      <c r="W117" s="644"/>
      <c r="X117" s="584" t="e">
        <f t="shared" si="27"/>
        <v>#DIV/0!</v>
      </c>
      <c r="Y117" s="584" t="e">
        <f t="shared" si="27"/>
        <v>#DIV/0!</v>
      </c>
      <c r="Z117" s="584" t="e">
        <f t="shared" si="27"/>
        <v>#DIV/0!</v>
      </c>
      <c r="AA117" s="584" t="e">
        <f t="shared" si="26"/>
        <v>#DIV/0!</v>
      </c>
    </row>
    <row r="118" spans="1:27" ht="22.5" hidden="1" customHeight="1" thickTop="1" thickBot="1" x14ac:dyDescent="0.3">
      <c r="A118" s="451">
        <v>1</v>
      </c>
      <c r="B118" s="450" t="s">
        <v>1343</v>
      </c>
      <c r="C118" s="450" t="s">
        <v>1343</v>
      </c>
      <c r="D118" s="450" t="s">
        <v>1350</v>
      </c>
      <c r="E118" s="450" t="s">
        <v>1358</v>
      </c>
      <c r="F118" s="450" t="s">
        <v>2138</v>
      </c>
      <c r="G118" s="450" t="s">
        <v>1350</v>
      </c>
      <c r="H118" s="450" t="s">
        <v>1413</v>
      </c>
      <c r="I118" s="450"/>
      <c r="J118" s="450"/>
      <c r="K118" s="647" t="s">
        <v>2178</v>
      </c>
      <c r="L118" s="641"/>
      <c r="M118" s="641"/>
      <c r="N118" s="641"/>
      <c r="O118" s="641">
        <f>+L118+M118-N118</f>
        <v>0</v>
      </c>
      <c r="P118" s="641"/>
      <c r="Q118" s="641"/>
      <c r="R118" s="641"/>
      <c r="S118" s="641"/>
      <c r="T118" s="641"/>
      <c r="U118" s="641"/>
      <c r="V118" s="648" t="e">
        <f t="shared" si="28"/>
        <v>#DIV/0!</v>
      </c>
      <c r="W118" s="644"/>
      <c r="X118" s="584" t="e">
        <f t="shared" si="27"/>
        <v>#DIV/0!</v>
      </c>
      <c r="Y118" s="584" t="e">
        <f t="shared" si="27"/>
        <v>#DIV/0!</v>
      </c>
      <c r="Z118" s="584" t="e">
        <f t="shared" si="27"/>
        <v>#DIV/0!</v>
      </c>
      <c r="AA118" s="584" t="e">
        <f t="shared" si="26"/>
        <v>#DIV/0!</v>
      </c>
    </row>
    <row r="119" spans="1:27" ht="22.5" hidden="1" customHeight="1" thickTop="1" thickBot="1" x14ac:dyDescent="0.3">
      <c r="A119" s="451">
        <v>1</v>
      </c>
      <c r="B119" s="450" t="s">
        <v>1343</v>
      </c>
      <c r="C119" s="450" t="s">
        <v>1343</v>
      </c>
      <c r="D119" s="450" t="s">
        <v>1350</v>
      </c>
      <c r="E119" s="450" t="s">
        <v>1358</v>
      </c>
      <c r="F119" s="450" t="s">
        <v>2138</v>
      </c>
      <c r="G119" s="450" t="s">
        <v>1350</v>
      </c>
      <c r="H119" s="450" t="s">
        <v>2076</v>
      </c>
      <c r="I119" s="450"/>
      <c r="J119" s="450"/>
      <c r="K119" s="647" t="s">
        <v>2179</v>
      </c>
      <c r="L119" s="641"/>
      <c r="M119" s="641"/>
      <c r="N119" s="641"/>
      <c r="O119" s="641">
        <f>+L119+M119-N119</f>
        <v>0</v>
      </c>
      <c r="P119" s="641"/>
      <c r="Q119" s="641"/>
      <c r="R119" s="641"/>
      <c r="S119" s="641"/>
      <c r="T119" s="641"/>
      <c r="U119" s="641"/>
      <c r="V119" s="648" t="e">
        <f t="shared" si="28"/>
        <v>#DIV/0!</v>
      </c>
      <c r="W119" s="644"/>
      <c r="X119" s="584" t="e">
        <f t="shared" si="27"/>
        <v>#DIV/0!</v>
      </c>
      <c r="Y119" s="584" t="e">
        <f t="shared" si="27"/>
        <v>#DIV/0!</v>
      </c>
      <c r="Z119" s="584" t="e">
        <f t="shared" si="27"/>
        <v>#DIV/0!</v>
      </c>
      <c r="AA119" s="584" t="e">
        <f t="shared" si="26"/>
        <v>#DIV/0!</v>
      </c>
    </row>
    <row r="120" spans="1:27" s="587" customFormat="1" ht="22.5" hidden="1" customHeight="1" thickTop="1" thickBot="1" x14ac:dyDescent="0.3">
      <c r="A120" s="633">
        <v>1</v>
      </c>
      <c r="B120" s="524" t="s">
        <v>1343</v>
      </c>
      <c r="C120" s="524" t="s">
        <v>1343</v>
      </c>
      <c r="D120" s="524" t="s">
        <v>1350</v>
      </c>
      <c r="E120" s="524" t="s">
        <v>1358</v>
      </c>
      <c r="F120" s="524" t="s">
        <v>2138</v>
      </c>
      <c r="G120" s="524" t="s">
        <v>1354</v>
      </c>
      <c r="H120" s="524"/>
      <c r="I120" s="524"/>
      <c r="J120" s="524"/>
      <c r="K120" s="634" t="s">
        <v>2180</v>
      </c>
      <c r="L120" s="635">
        <f>SUM(L121:L123)</f>
        <v>0</v>
      </c>
      <c r="M120" s="635">
        <f t="shared" ref="M120:U120" si="43">SUM(M121:M123)</f>
        <v>0</v>
      </c>
      <c r="N120" s="635">
        <f t="shared" si="43"/>
        <v>0</v>
      </c>
      <c r="O120" s="635">
        <f>SUM(O121:O123)</f>
        <v>0</v>
      </c>
      <c r="P120" s="635">
        <f t="shared" si="43"/>
        <v>0</v>
      </c>
      <c r="Q120" s="635">
        <f t="shared" si="43"/>
        <v>0</v>
      </c>
      <c r="R120" s="635">
        <f t="shared" si="43"/>
        <v>0</v>
      </c>
      <c r="S120" s="635">
        <f t="shared" si="43"/>
        <v>0</v>
      </c>
      <c r="T120" s="635">
        <f t="shared" si="43"/>
        <v>0</v>
      </c>
      <c r="U120" s="635">
        <f t="shared" si="43"/>
        <v>0</v>
      </c>
      <c r="V120" s="636" t="e">
        <f t="shared" si="28"/>
        <v>#DIV/0!</v>
      </c>
      <c r="W120" s="637"/>
      <c r="X120" s="587" t="e">
        <f t="shared" si="27"/>
        <v>#DIV/0!</v>
      </c>
      <c r="Y120" s="587" t="e">
        <f t="shared" si="27"/>
        <v>#DIV/0!</v>
      </c>
      <c r="Z120" s="587" t="e">
        <f t="shared" si="27"/>
        <v>#DIV/0!</v>
      </c>
      <c r="AA120" s="587" t="e">
        <f t="shared" si="26"/>
        <v>#DIV/0!</v>
      </c>
    </row>
    <row r="121" spans="1:27" ht="22.5" hidden="1" customHeight="1" thickTop="1" thickBot="1" x14ac:dyDescent="0.3">
      <c r="A121" s="451">
        <v>1</v>
      </c>
      <c r="B121" s="450" t="s">
        <v>1343</v>
      </c>
      <c r="C121" s="450" t="s">
        <v>1343</v>
      </c>
      <c r="D121" s="450" t="s">
        <v>1350</v>
      </c>
      <c r="E121" s="450" t="s">
        <v>1358</v>
      </c>
      <c r="F121" s="450" t="s">
        <v>2138</v>
      </c>
      <c r="G121" s="450" t="s">
        <v>1354</v>
      </c>
      <c r="H121" s="450" t="s">
        <v>1343</v>
      </c>
      <c r="I121" s="450"/>
      <c r="J121" s="450"/>
      <c r="K121" s="647" t="s">
        <v>2181</v>
      </c>
      <c r="L121" s="641"/>
      <c r="M121" s="641"/>
      <c r="N121" s="641"/>
      <c r="O121" s="641">
        <f>+L121+M121-N121</f>
        <v>0</v>
      </c>
      <c r="P121" s="641"/>
      <c r="Q121" s="641"/>
      <c r="R121" s="641"/>
      <c r="S121" s="641"/>
      <c r="T121" s="641"/>
      <c r="U121" s="641"/>
      <c r="V121" s="648" t="e">
        <f t="shared" si="28"/>
        <v>#DIV/0!</v>
      </c>
      <c r="W121" s="644"/>
      <c r="X121" s="584" t="e">
        <f t="shared" si="27"/>
        <v>#DIV/0!</v>
      </c>
      <c r="Y121" s="584" t="e">
        <f t="shared" si="27"/>
        <v>#DIV/0!</v>
      </c>
      <c r="Z121" s="584" t="e">
        <f t="shared" si="27"/>
        <v>#DIV/0!</v>
      </c>
      <c r="AA121" s="584" t="e">
        <f t="shared" si="26"/>
        <v>#DIV/0!</v>
      </c>
    </row>
    <row r="122" spans="1:27" ht="22.5" hidden="1" customHeight="1" thickTop="1" thickBot="1" x14ac:dyDescent="0.3">
      <c r="A122" s="451">
        <v>1</v>
      </c>
      <c r="B122" s="450" t="s">
        <v>1343</v>
      </c>
      <c r="C122" s="450" t="s">
        <v>1343</v>
      </c>
      <c r="D122" s="450" t="s">
        <v>1350</v>
      </c>
      <c r="E122" s="450" t="s">
        <v>1358</v>
      </c>
      <c r="F122" s="450" t="s">
        <v>2138</v>
      </c>
      <c r="G122" s="450" t="s">
        <v>1354</v>
      </c>
      <c r="H122" s="450" t="s">
        <v>1413</v>
      </c>
      <c r="I122" s="450"/>
      <c r="J122" s="450"/>
      <c r="K122" s="647" t="s">
        <v>2182</v>
      </c>
      <c r="L122" s="641"/>
      <c r="M122" s="641"/>
      <c r="N122" s="641"/>
      <c r="O122" s="641">
        <f>+L122+M122-N122</f>
        <v>0</v>
      </c>
      <c r="P122" s="641"/>
      <c r="Q122" s="641"/>
      <c r="R122" s="641"/>
      <c r="S122" s="641"/>
      <c r="T122" s="641"/>
      <c r="U122" s="641"/>
      <c r="V122" s="648" t="e">
        <f t="shared" si="28"/>
        <v>#DIV/0!</v>
      </c>
      <c r="W122" s="644"/>
      <c r="X122" s="584" t="e">
        <f t="shared" si="27"/>
        <v>#DIV/0!</v>
      </c>
      <c r="Y122" s="584" t="e">
        <f t="shared" si="27"/>
        <v>#DIV/0!</v>
      </c>
      <c r="Z122" s="584" t="e">
        <f t="shared" si="27"/>
        <v>#DIV/0!</v>
      </c>
      <c r="AA122" s="584" t="e">
        <f t="shared" si="26"/>
        <v>#DIV/0!</v>
      </c>
    </row>
    <row r="123" spans="1:27" ht="22.5" hidden="1" customHeight="1" thickTop="1" thickBot="1" x14ac:dyDescent="0.3">
      <c r="A123" s="451">
        <v>1</v>
      </c>
      <c r="B123" s="450" t="s">
        <v>1343</v>
      </c>
      <c r="C123" s="450" t="s">
        <v>1343</v>
      </c>
      <c r="D123" s="450" t="s">
        <v>1350</v>
      </c>
      <c r="E123" s="450" t="s">
        <v>1358</v>
      </c>
      <c r="F123" s="450" t="s">
        <v>2138</v>
      </c>
      <c r="G123" s="450" t="s">
        <v>1354</v>
      </c>
      <c r="H123" s="450" t="s">
        <v>2076</v>
      </c>
      <c r="I123" s="450"/>
      <c r="J123" s="450"/>
      <c r="K123" s="647" t="s">
        <v>2183</v>
      </c>
      <c r="L123" s="641"/>
      <c r="M123" s="641"/>
      <c r="N123" s="641"/>
      <c r="O123" s="641">
        <f>+L123+M123-N123</f>
        <v>0</v>
      </c>
      <c r="P123" s="641"/>
      <c r="Q123" s="641"/>
      <c r="R123" s="641"/>
      <c r="S123" s="641"/>
      <c r="T123" s="641"/>
      <c r="U123" s="641"/>
      <c r="V123" s="648" t="e">
        <f t="shared" si="28"/>
        <v>#DIV/0!</v>
      </c>
      <c r="W123" s="644"/>
      <c r="X123" s="584" t="e">
        <f t="shared" si="27"/>
        <v>#DIV/0!</v>
      </c>
      <c r="Y123" s="584" t="e">
        <f t="shared" si="27"/>
        <v>#DIV/0!</v>
      </c>
      <c r="Z123" s="584" t="e">
        <f t="shared" si="27"/>
        <v>#DIV/0!</v>
      </c>
      <c r="AA123" s="584" t="e">
        <f t="shared" si="26"/>
        <v>#DIV/0!</v>
      </c>
    </row>
    <row r="124" spans="1:27" s="587" customFormat="1" ht="22.5" hidden="1" customHeight="1" thickTop="1" thickBot="1" x14ac:dyDescent="0.3">
      <c r="A124" s="633">
        <v>1</v>
      </c>
      <c r="B124" s="524" t="s">
        <v>1343</v>
      </c>
      <c r="C124" s="524" t="s">
        <v>1343</v>
      </c>
      <c r="D124" s="524" t="s">
        <v>1350</v>
      </c>
      <c r="E124" s="524" t="s">
        <v>1358</v>
      </c>
      <c r="F124" s="524" t="s">
        <v>2138</v>
      </c>
      <c r="G124" s="524" t="s">
        <v>1355</v>
      </c>
      <c r="H124" s="524"/>
      <c r="I124" s="524"/>
      <c r="J124" s="524"/>
      <c r="K124" s="634" t="s">
        <v>1366</v>
      </c>
      <c r="L124" s="635">
        <f>SUM(L125:L127)</f>
        <v>0</v>
      </c>
      <c r="M124" s="635">
        <f t="shared" ref="M124:U124" si="44">SUM(M125)</f>
        <v>0</v>
      </c>
      <c r="N124" s="635">
        <f t="shared" si="44"/>
        <v>0</v>
      </c>
      <c r="O124" s="635">
        <f t="shared" si="44"/>
        <v>0</v>
      </c>
      <c r="P124" s="635">
        <f t="shared" si="44"/>
        <v>0</v>
      </c>
      <c r="Q124" s="635">
        <f t="shared" si="44"/>
        <v>0</v>
      </c>
      <c r="R124" s="635">
        <f t="shared" si="44"/>
        <v>0</v>
      </c>
      <c r="S124" s="635">
        <f t="shared" si="44"/>
        <v>0</v>
      </c>
      <c r="T124" s="635">
        <f t="shared" si="44"/>
        <v>0</v>
      </c>
      <c r="U124" s="635">
        <f t="shared" si="44"/>
        <v>0</v>
      </c>
      <c r="V124" s="636" t="e">
        <f t="shared" si="28"/>
        <v>#DIV/0!</v>
      </c>
      <c r="W124" s="637"/>
      <c r="X124" s="587" t="e">
        <f t="shared" si="27"/>
        <v>#DIV/0!</v>
      </c>
      <c r="Y124" s="587" t="e">
        <f t="shared" si="27"/>
        <v>#DIV/0!</v>
      </c>
      <c r="Z124" s="587" t="e">
        <f t="shared" si="27"/>
        <v>#DIV/0!</v>
      </c>
      <c r="AA124" s="587" t="e">
        <f t="shared" si="26"/>
        <v>#DIV/0!</v>
      </c>
    </row>
    <row r="125" spans="1:27" ht="22.5" hidden="1" customHeight="1" thickTop="1" thickBot="1" x14ac:dyDescent="0.3">
      <c r="A125" s="451">
        <v>1</v>
      </c>
      <c r="B125" s="450" t="s">
        <v>1343</v>
      </c>
      <c r="C125" s="450" t="s">
        <v>1343</v>
      </c>
      <c r="D125" s="450" t="s">
        <v>1350</v>
      </c>
      <c r="E125" s="450" t="s">
        <v>1358</v>
      </c>
      <c r="F125" s="450" t="s">
        <v>2138</v>
      </c>
      <c r="G125" s="450" t="s">
        <v>1355</v>
      </c>
      <c r="H125" s="450" t="s">
        <v>1343</v>
      </c>
      <c r="I125" s="450"/>
      <c r="J125" s="450"/>
      <c r="K125" s="647" t="s">
        <v>2184</v>
      </c>
      <c r="L125" s="641"/>
      <c r="M125" s="641"/>
      <c r="N125" s="641"/>
      <c r="O125" s="641">
        <f>+L125+M125-N125</f>
        <v>0</v>
      </c>
      <c r="P125" s="641"/>
      <c r="Q125" s="641"/>
      <c r="R125" s="641"/>
      <c r="S125" s="641"/>
      <c r="T125" s="641"/>
      <c r="U125" s="641"/>
      <c r="V125" s="648" t="e">
        <f t="shared" si="28"/>
        <v>#DIV/0!</v>
      </c>
      <c r="W125" s="644"/>
      <c r="X125" s="584" t="e">
        <f t="shared" si="27"/>
        <v>#DIV/0!</v>
      </c>
      <c r="Y125" s="584" t="e">
        <f t="shared" si="27"/>
        <v>#DIV/0!</v>
      </c>
      <c r="Z125" s="584" t="e">
        <f t="shared" si="27"/>
        <v>#DIV/0!</v>
      </c>
      <c r="AA125" s="584" t="e">
        <f t="shared" si="26"/>
        <v>#DIV/0!</v>
      </c>
    </row>
    <row r="126" spans="1:27" ht="22.5" hidden="1" customHeight="1" thickTop="1" thickBot="1" x14ac:dyDescent="0.3">
      <c r="A126" s="451">
        <v>1</v>
      </c>
      <c r="B126" s="450" t="s">
        <v>1343</v>
      </c>
      <c r="C126" s="450" t="s">
        <v>1343</v>
      </c>
      <c r="D126" s="450" t="s">
        <v>1350</v>
      </c>
      <c r="E126" s="450" t="s">
        <v>1358</v>
      </c>
      <c r="F126" s="450" t="s">
        <v>2138</v>
      </c>
      <c r="G126" s="450" t="s">
        <v>1355</v>
      </c>
      <c r="H126" s="450" t="s">
        <v>1413</v>
      </c>
      <c r="I126" s="450"/>
      <c r="J126" s="450"/>
      <c r="K126" s="647" t="s">
        <v>2185</v>
      </c>
      <c r="L126" s="641"/>
      <c r="M126" s="641"/>
      <c r="N126" s="641"/>
      <c r="O126" s="641">
        <f>+L126+M126-N126</f>
        <v>0</v>
      </c>
      <c r="P126" s="641"/>
      <c r="Q126" s="641"/>
      <c r="R126" s="641"/>
      <c r="S126" s="641"/>
      <c r="T126" s="641"/>
      <c r="U126" s="641"/>
      <c r="V126" s="648" t="e">
        <f t="shared" si="28"/>
        <v>#DIV/0!</v>
      </c>
      <c r="W126" s="644"/>
      <c r="X126" s="584" t="e">
        <f t="shared" si="27"/>
        <v>#DIV/0!</v>
      </c>
      <c r="Y126" s="584" t="e">
        <f t="shared" si="27"/>
        <v>#DIV/0!</v>
      </c>
      <c r="Z126" s="584" t="e">
        <f t="shared" si="27"/>
        <v>#DIV/0!</v>
      </c>
      <c r="AA126" s="584" t="e">
        <f t="shared" si="26"/>
        <v>#DIV/0!</v>
      </c>
    </row>
    <row r="127" spans="1:27" ht="22.5" hidden="1" customHeight="1" thickTop="1" thickBot="1" x14ac:dyDescent="0.3">
      <c r="A127" s="451">
        <v>1</v>
      </c>
      <c r="B127" s="450" t="s">
        <v>1343</v>
      </c>
      <c r="C127" s="450" t="s">
        <v>1343</v>
      </c>
      <c r="D127" s="450" t="s">
        <v>1350</v>
      </c>
      <c r="E127" s="450" t="s">
        <v>1358</v>
      </c>
      <c r="F127" s="450" t="s">
        <v>2138</v>
      </c>
      <c r="G127" s="450" t="s">
        <v>1355</v>
      </c>
      <c r="H127" s="450" t="s">
        <v>2076</v>
      </c>
      <c r="I127" s="450"/>
      <c r="J127" s="450"/>
      <c r="K127" s="647" t="s">
        <v>2186</v>
      </c>
      <c r="L127" s="641"/>
      <c r="M127" s="641"/>
      <c r="N127" s="641"/>
      <c r="O127" s="641">
        <f>+L127+M127-N127</f>
        <v>0</v>
      </c>
      <c r="P127" s="641"/>
      <c r="Q127" s="641"/>
      <c r="R127" s="641"/>
      <c r="S127" s="641"/>
      <c r="T127" s="641"/>
      <c r="U127" s="641"/>
      <c r="V127" s="648" t="e">
        <f t="shared" si="28"/>
        <v>#DIV/0!</v>
      </c>
      <c r="W127" s="644"/>
      <c r="X127" s="584" t="e">
        <f t="shared" si="27"/>
        <v>#DIV/0!</v>
      </c>
      <c r="Y127" s="584" t="e">
        <f t="shared" si="27"/>
        <v>#DIV/0!</v>
      </c>
      <c r="Z127" s="584" t="e">
        <f t="shared" si="27"/>
        <v>#DIV/0!</v>
      </c>
      <c r="AA127" s="584" t="e">
        <f t="shared" si="26"/>
        <v>#DIV/0!</v>
      </c>
    </row>
    <row r="128" spans="1:27" s="587" customFormat="1" ht="22.5" hidden="1" customHeight="1" thickTop="1" thickBot="1" x14ac:dyDescent="0.3">
      <c r="A128" s="633">
        <v>1</v>
      </c>
      <c r="B128" s="524" t="s">
        <v>1343</v>
      </c>
      <c r="C128" s="524" t="s">
        <v>1343</v>
      </c>
      <c r="D128" s="524" t="s">
        <v>1350</v>
      </c>
      <c r="E128" s="524" t="s">
        <v>1358</v>
      </c>
      <c r="F128" s="524" t="s">
        <v>2138</v>
      </c>
      <c r="G128" s="524" t="s">
        <v>1358</v>
      </c>
      <c r="H128" s="524"/>
      <c r="I128" s="524"/>
      <c r="J128" s="524"/>
      <c r="K128" s="634" t="s">
        <v>2187</v>
      </c>
      <c r="L128" s="635">
        <f>SUM(L129:L131)</f>
        <v>0</v>
      </c>
      <c r="M128" s="635">
        <f t="shared" ref="M128:U128" si="45">SUM(M129:M131)</f>
        <v>0</v>
      </c>
      <c r="N128" s="635">
        <f t="shared" si="45"/>
        <v>0</v>
      </c>
      <c r="O128" s="635">
        <f t="shared" si="45"/>
        <v>0</v>
      </c>
      <c r="P128" s="635">
        <f t="shared" si="45"/>
        <v>0</v>
      </c>
      <c r="Q128" s="635">
        <f t="shared" si="45"/>
        <v>0</v>
      </c>
      <c r="R128" s="635">
        <f t="shared" si="45"/>
        <v>0</v>
      </c>
      <c r="S128" s="635">
        <f t="shared" si="45"/>
        <v>0</v>
      </c>
      <c r="T128" s="635">
        <f t="shared" si="45"/>
        <v>0</v>
      </c>
      <c r="U128" s="635">
        <f t="shared" si="45"/>
        <v>0</v>
      </c>
      <c r="V128" s="636" t="e">
        <f t="shared" si="28"/>
        <v>#DIV/0!</v>
      </c>
      <c r="W128" s="637"/>
      <c r="X128" s="587" t="e">
        <f t="shared" si="27"/>
        <v>#DIV/0!</v>
      </c>
      <c r="Y128" s="587" t="e">
        <f t="shared" si="27"/>
        <v>#DIV/0!</v>
      </c>
      <c r="Z128" s="587" t="e">
        <f t="shared" si="27"/>
        <v>#DIV/0!</v>
      </c>
      <c r="AA128" s="587" t="e">
        <f t="shared" si="26"/>
        <v>#DIV/0!</v>
      </c>
    </row>
    <row r="129" spans="1:27" ht="22.5" hidden="1" customHeight="1" thickTop="1" thickBot="1" x14ac:dyDescent="0.3">
      <c r="A129" s="451">
        <v>1</v>
      </c>
      <c r="B129" s="450" t="s">
        <v>1343</v>
      </c>
      <c r="C129" s="450" t="s">
        <v>1343</v>
      </c>
      <c r="D129" s="450" t="s">
        <v>1350</v>
      </c>
      <c r="E129" s="450" t="s">
        <v>1358</v>
      </c>
      <c r="F129" s="450" t="s">
        <v>2138</v>
      </c>
      <c r="G129" s="450" t="s">
        <v>1358</v>
      </c>
      <c r="H129" s="450" t="s">
        <v>1343</v>
      </c>
      <c r="I129" s="450"/>
      <c r="J129" s="450"/>
      <c r="K129" s="647" t="s">
        <v>2188</v>
      </c>
      <c r="L129" s="641"/>
      <c r="M129" s="641"/>
      <c r="N129" s="641"/>
      <c r="O129" s="641">
        <f>+L129+M129-N129</f>
        <v>0</v>
      </c>
      <c r="P129" s="641"/>
      <c r="Q129" s="641"/>
      <c r="R129" s="641"/>
      <c r="S129" s="641"/>
      <c r="T129" s="641"/>
      <c r="U129" s="641"/>
      <c r="V129" s="648" t="e">
        <f t="shared" si="28"/>
        <v>#DIV/0!</v>
      </c>
      <c r="W129" s="644"/>
      <c r="X129" s="584" t="e">
        <f t="shared" si="27"/>
        <v>#DIV/0!</v>
      </c>
      <c r="Y129" s="584" t="e">
        <f t="shared" si="27"/>
        <v>#DIV/0!</v>
      </c>
      <c r="Z129" s="584" t="e">
        <f t="shared" si="27"/>
        <v>#DIV/0!</v>
      </c>
      <c r="AA129" s="584" t="e">
        <f t="shared" si="26"/>
        <v>#DIV/0!</v>
      </c>
    </row>
    <row r="130" spans="1:27" ht="22.5" hidden="1" customHeight="1" thickTop="1" thickBot="1" x14ac:dyDescent="0.3">
      <c r="A130" s="451">
        <v>1</v>
      </c>
      <c r="B130" s="450" t="s">
        <v>1343</v>
      </c>
      <c r="C130" s="450" t="s">
        <v>1343</v>
      </c>
      <c r="D130" s="450" t="s">
        <v>1350</v>
      </c>
      <c r="E130" s="450" t="s">
        <v>1358</v>
      </c>
      <c r="F130" s="450" t="s">
        <v>2138</v>
      </c>
      <c r="G130" s="450" t="s">
        <v>1358</v>
      </c>
      <c r="H130" s="450" t="s">
        <v>1413</v>
      </c>
      <c r="I130" s="450"/>
      <c r="J130" s="450"/>
      <c r="K130" s="647" t="s">
        <v>2189</v>
      </c>
      <c r="L130" s="641"/>
      <c r="M130" s="641"/>
      <c r="N130" s="641"/>
      <c r="O130" s="641">
        <f>+L130+M130-N130</f>
        <v>0</v>
      </c>
      <c r="P130" s="641"/>
      <c r="Q130" s="641"/>
      <c r="R130" s="641"/>
      <c r="S130" s="641"/>
      <c r="T130" s="641"/>
      <c r="U130" s="641"/>
      <c r="V130" s="648" t="e">
        <f t="shared" si="28"/>
        <v>#DIV/0!</v>
      </c>
      <c r="W130" s="644"/>
      <c r="X130" s="584" t="e">
        <f t="shared" si="27"/>
        <v>#DIV/0!</v>
      </c>
      <c r="Y130" s="584" t="e">
        <f t="shared" si="27"/>
        <v>#DIV/0!</v>
      </c>
      <c r="Z130" s="584" t="e">
        <f t="shared" si="27"/>
        <v>#DIV/0!</v>
      </c>
      <c r="AA130" s="584" t="e">
        <f t="shared" si="26"/>
        <v>#DIV/0!</v>
      </c>
    </row>
    <row r="131" spans="1:27" ht="22.5" hidden="1" customHeight="1" thickTop="1" thickBot="1" x14ac:dyDescent="0.3">
      <c r="A131" s="451">
        <v>1</v>
      </c>
      <c r="B131" s="450" t="s">
        <v>1343</v>
      </c>
      <c r="C131" s="450" t="s">
        <v>1343</v>
      </c>
      <c r="D131" s="450" t="s">
        <v>1350</v>
      </c>
      <c r="E131" s="450" t="s">
        <v>1358</v>
      </c>
      <c r="F131" s="450" t="s">
        <v>2138</v>
      </c>
      <c r="G131" s="450" t="s">
        <v>1358</v>
      </c>
      <c r="H131" s="450" t="s">
        <v>2076</v>
      </c>
      <c r="I131" s="450"/>
      <c r="J131" s="450"/>
      <c r="K131" s="647" t="s">
        <v>2190</v>
      </c>
      <c r="L131" s="641"/>
      <c r="M131" s="641"/>
      <c r="N131" s="641"/>
      <c r="O131" s="641">
        <f>+L131+M131-N131</f>
        <v>0</v>
      </c>
      <c r="P131" s="641"/>
      <c r="Q131" s="641"/>
      <c r="R131" s="641"/>
      <c r="S131" s="641"/>
      <c r="T131" s="641"/>
      <c r="U131" s="641"/>
      <c r="V131" s="648" t="e">
        <f t="shared" si="28"/>
        <v>#DIV/0!</v>
      </c>
      <c r="W131" s="644"/>
      <c r="X131" s="584" t="e">
        <f t="shared" si="27"/>
        <v>#DIV/0!</v>
      </c>
      <c r="Y131" s="584" t="e">
        <f t="shared" si="27"/>
        <v>#DIV/0!</v>
      </c>
      <c r="Z131" s="584" t="e">
        <f t="shared" si="27"/>
        <v>#DIV/0!</v>
      </c>
      <c r="AA131" s="584" t="e">
        <f t="shared" si="26"/>
        <v>#DIV/0!</v>
      </c>
    </row>
    <row r="132" spans="1:27" s="587" customFormat="1" ht="22.5" hidden="1" customHeight="1" thickTop="1" thickBot="1" x14ac:dyDescent="0.3">
      <c r="A132" s="633">
        <v>1</v>
      </c>
      <c r="B132" s="524" t="s">
        <v>1343</v>
      </c>
      <c r="C132" s="524" t="s">
        <v>1343</v>
      </c>
      <c r="D132" s="524" t="s">
        <v>1350</v>
      </c>
      <c r="E132" s="524" t="s">
        <v>1358</v>
      </c>
      <c r="F132" s="524" t="s">
        <v>2138</v>
      </c>
      <c r="G132" s="524" t="s">
        <v>1359</v>
      </c>
      <c r="H132" s="524"/>
      <c r="I132" s="524"/>
      <c r="J132" s="524"/>
      <c r="K132" s="634" t="s">
        <v>1867</v>
      </c>
      <c r="L132" s="635">
        <f>SUM(L133:L135)</f>
        <v>0</v>
      </c>
      <c r="M132" s="635">
        <f t="shared" ref="M132:U132" si="46">SUM(M133:M135)</f>
        <v>0</v>
      </c>
      <c r="N132" s="635">
        <f t="shared" si="46"/>
        <v>0</v>
      </c>
      <c r="O132" s="635">
        <f t="shared" si="46"/>
        <v>0</v>
      </c>
      <c r="P132" s="635">
        <f t="shared" si="46"/>
        <v>0</v>
      </c>
      <c r="Q132" s="635">
        <f t="shared" si="46"/>
        <v>0</v>
      </c>
      <c r="R132" s="635">
        <f t="shared" si="46"/>
        <v>0</v>
      </c>
      <c r="S132" s="635">
        <f t="shared" si="46"/>
        <v>0</v>
      </c>
      <c r="T132" s="635">
        <f t="shared" si="46"/>
        <v>0</v>
      </c>
      <c r="U132" s="635">
        <f t="shared" si="46"/>
        <v>0</v>
      </c>
      <c r="V132" s="636" t="e">
        <f t="shared" si="28"/>
        <v>#DIV/0!</v>
      </c>
      <c r="W132" s="637"/>
      <c r="X132" s="587" t="e">
        <f t="shared" si="27"/>
        <v>#DIV/0!</v>
      </c>
      <c r="Y132" s="587" t="e">
        <f t="shared" si="27"/>
        <v>#DIV/0!</v>
      </c>
      <c r="Z132" s="587" t="e">
        <f t="shared" si="27"/>
        <v>#DIV/0!</v>
      </c>
      <c r="AA132" s="587" t="e">
        <f t="shared" si="26"/>
        <v>#DIV/0!</v>
      </c>
    </row>
    <row r="133" spans="1:27" ht="22.5" hidden="1" customHeight="1" thickTop="1" thickBot="1" x14ac:dyDescent="0.3">
      <c r="A133" s="451">
        <v>1</v>
      </c>
      <c r="B133" s="450" t="s">
        <v>1343</v>
      </c>
      <c r="C133" s="450" t="s">
        <v>1343</v>
      </c>
      <c r="D133" s="450" t="s">
        <v>1350</v>
      </c>
      <c r="E133" s="450" t="s">
        <v>1358</v>
      </c>
      <c r="F133" s="450" t="s">
        <v>2138</v>
      </c>
      <c r="G133" s="450" t="s">
        <v>1359</v>
      </c>
      <c r="H133" s="450" t="s">
        <v>1343</v>
      </c>
      <c r="I133" s="450"/>
      <c r="J133" s="450"/>
      <c r="K133" s="647" t="s">
        <v>2191</v>
      </c>
      <c r="L133" s="641"/>
      <c r="M133" s="641"/>
      <c r="N133" s="641"/>
      <c r="O133" s="641">
        <f>+L133+M133-N133</f>
        <v>0</v>
      </c>
      <c r="P133" s="641"/>
      <c r="Q133" s="641"/>
      <c r="R133" s="641"/>
      <c r="S133" s="641"/>
      <c r="T133" s="641"/>
      <c r="U133" s="641"/>
      <c r="V133" s="648" t="e">
        <f t="shared" si="28"/>
        <v>#DIV/0!</v>
      </c>
      <c r="W133" s="644"/>
      <c r="X133" s="584" t="e">
        <f t="shared" si="27"/>
        <v>#DIV/0!</v>
      </c>
      <c r="Y133" s="584" t="e">
        <f t="shared" si="27"/>
        <v>#DIV/0!</v>
      </c>
      <c r="Z133" s="584" t="e">
        <f t="shared" si="27"/>
        <v>#DIV/0!</v>
      </c>
      <c r="AA133" s="584" t="e">
        <f t="shared" si="26"/>
        <v>#DIV/0!</v>
      </c>
    </row>
    <row r="134" spans="1:27" ht="22.5" hidden="1" customHeight="1" thickTop="1" thickBot="1" x14ac:dyDescent="0.3">
      <c r="A134" s="451">
        <v>1</v>
      </c>
      <c r="B134" s="450" t="s">
        <v>1343</v>
      </c>
      <c r="C134" s="450" t="s">
        <v>1343</v>
      </c>
      <c r="D134" s="450" t="s">
        <v>1350</v>
      </c>
      <c r="E134" s="450" t="s">
        <v>1358</v>
      </c>
      <c r="F134" s="450" t="s">
        <v>2138</v>
      </c>
      <c r="G134" s="450" t="s">
        <v>1359</v>
      </c>
      <c r="H134" s="450" t="s">
        <v>1413</v>
      </c>
      <c r="I134" s="450"/>
      <c r="J134" s="450"/>
      <c r="K134" s="647" t="s">
        <v>2192</v>
      </c>
      <c r="L134" s="641"/>
      <c r="M134" s="641"/>
      <c r="N134" s="641"/>
      <c r="O134" s="641">
        <f>+L134+M134-N134</f>
        <v>0</v>
      </c>
      <c r="P134" s="641"/>
      <c r="Q134" s="641"/>
      <c r="R134" s="641"/>
      <c r="S134" s="641"/>
      <c r="T134" s="641"/>
      <c r="U134" s="641"/>
      <c r="V134" s="648" t="e">
        <f t="shared" si="28"/>
        <v>#DIV/0!</v>
      </c>
      <c r="W134" s="644"/>
      <c r="X134" s="584" t="e">
        <f t="shared" si="27"/>
        <v>#DIV/0!</v>
      </c>
      <c r="Y134" s="584" t="e">
        <f t="shared" si="27"/>
        <v>#DIV/0!</v>
      </c>
      <c r="Z134" s="584" t="e">
        <f t="shared" si="27"/>
        <v>#DIV/0!</v>
      </c>
      <c r="AA134" s="584" t="e">
        <f t="shared" si="26"/>
        <v>#DIV/0!</v>
      </c>
    </row>
    <row r="135" spans="1:27" ht="22.5" hidden="1" customHeight="1" thickTop="1" thickBot="1" x14ac:dyDescent="0.3">
      <c r="A135" s="451">
        <v>1</v>
      </c>
      <c r="B135" s="450" t="s">
        <v>1343</v>
      </c>
      <c r="C135" s="450" t="s">
        <v>1343</v>
      </c>
      <c r="D135" s="450" t="s">
        <v>1350</v>
      </c>
      <c r="E135" s="450" t="s">
        <v>1358</v>
      </c>
      <c r="F135" s="450" t="s">
        <v>2138</v>
      </c>
      <c r="G135" s="450" t="s">
        <v>1359</v>
      </c>
      <c r="H135" s="450" t="s">
        <v>2076</v>
      </c>
      <c r="I135" s="450"/>
      <c r="J135" s="450"/>
      <c r="K135" s="647" t="s">
        <v>2193</v>
      </c>
      <c r="L135" s="641"/>
      <c r="M135" s="641"/>
      <c r="N135" s="641"/>
      <c r="O135" s="641">
        <f>+L135+M135-N135</f>
        <v>0</v>
      </c>
      <c r="P135" s="641"/>
      <c r="Q135" s="641"/>
      <c r="R135" s="641"/>
      <c r="S135" s="641"/>
      <c r="T135" s="641"/>
      <c r="U135" s="641"/>
      <c r="V135" s="648" t="e">
        <f t="shared" si="28"/>
        <v>#DIV/0!</v>
      </c>
      <c r="W135" s="644"/>
      <c r="X135" s="584" t="e">
        <f t="shared" si="27"/>
        <v>#DIV/0!</v>
      </c>
      <c r="Y135" s="584" t="e">
        <f t="shared" si="27"/>
        <v>#DIV/0!</v>
      </c>
      <c r="Z135" s="584" t="e">
        <f t="shared" si="27"/>
        <v>#DIV/0!</v>
      </c>
      <c r="AA135" s="584" t="e">
        <f t="shared" si="27"/>
        <v>#DIV/0!</v>
      </c>
    </row>
    <row r="136" spans="1:27" s="587" customFormat="1" ht="22.5" hidden="1" customHeight="1" thickTop="1" thickBot="1" x14ac:dyDescent="0.3">
      <c r="A136" s="633">
        <v>1</v>
      </c>
      <c r="B136" s="524" t="s">
        <v>1343</v>
      </c>
      <c r="C136" s="524" t="s">
        <v>1343</v>
      </c>
      <c r="D136" s="524" t="s">
        <v>1350</v>
      </c>
      <c r="E136" s="524" t="s">
        <v>1358</v>
      </c>
      <c r="F136" s="524" t="s">
        <v>2138</v>
      </c>
      <c r="G136" s="524" t="s">
        <v>1360</v>
      </c>
      <c r="H136" s="524"/>
      <c r="I136" s="524"/>
      <c r="J136" s="524"/>
      <c r="K136" s="634" t="s">
        <v>1868</v>
      </c>
      <c r="L136" s="635">
        <f>SUM(L137:L139)</f>
        <v>0</v>
      </c>
      <c r="M136" s="635">
        <f t="shared" ref="M136:U136" si="47">SUM(M137:M139)</f>
        <v>0</v>
      </c>
      <c r="N136" s="635">
        <f t="shared" si="47"/>
        <v>0</v>
      </c>
      <c r="O136" s="635">
        <f t="shared" si="47"/>
        <v>0</v>
      </c>
      <c r="P136" s="635">
        <f t="shared" si="47"/>
        <v>0</v>
      </c>
      <c r="Q136" s="635">
        <f t="shared" si="47"/>
        <v>0</v>
      </c>
      <c r="R136" s="635">
        <f t="shared" si="47"/>
        <v>0</v>
      </c>
      <c r="S136" s="635">
        <f t="shared" si="47"/>
        <v>0</v>
      </c>
      <c r="T136" s="635">
        <f t="shared" si="47"/>
        <v>0</v>
      </c>
      <c r="U136" s="635">
        <f t="shared" si="47"/>
        <v>0</v>
      </c>
      <c r="V136" s="636" t="e">
        <f t="shared" si="28"/>
        <v>#DIV/0!</v>
      </c>
      <c r="W136" s="637"/>
      <c r="X136" s="587" t="e">
        <f t="shared" ref="X136:AA199" si="48">+P136/$O136</f>
        <v>#DIV/0!</v>
      </c>
      <c r="Y136" s="587" t="e">
        <f t="shared" si="48"/>
        <v>#DIV/0!</v>
      </c>
      <c r="Z136" s="587" t="e">
        <f t="shared" si="48"/>
        <v>#DIV/0!</v>
      </c>
      <c r="AA136" s="587" t="e">
        <f t="shared" si="48"/>
        <v>#DIV/0!</v>
      </c>
    </row>
    <row r="137" spans="1:27" ht="22.5" hidden="1" customHeight="1" thickTop="1" thickBot="1" x14ac:dyDescent="0.3">
      <c r="A137" s="451">
        <v>1</v>
      </c>
      <c r="B137" s="450" t="s">
        <v>1343</v>
      </c>
      <c r="C137" s="450" t="s">
        <v>1343</v>
      </c>
      <c r="D137" s="450" t="s">
        <v>1350</v>
      </c>
      <c r="E137" s="450" t="s">
        <v>1358</v>
      </c>
      <c r="F137" s="450" t="s">
        <v>2138</v>
      </c>
      <c r="G137" s="450" t="s">
        <v>1360</v>
      </c>
      <c r="H137" s="450" t="s">
        <v>1343</v>
      </c>
      <c r="I137" s="450"/>
      <c r="J137" s="450"/>
      <c r="K137" s="647" t="s">
        <v>2194</v>
      </c>
      <c r="L137" s="641"/>
      <c r="M137" s="641"/>
      <c r="N137" s="641"/>
      <c r="O137" s="641">
        <f>+L137+M137-N137</f>
        <v>0</v>
      </c>
      <c r="P137" s="641"/>
      <c r="Q137" s="641"/>
      <c r="R137" s="641"/>
      <c r="S137" s="641"/>
      <c r="T137" s="641"/>
      <c r="U137" s="641"/>
      <c r="V137" s="648" t="e">
        <f t="shared" si="28"/>
        <v>#DIV/0!</v>
      </c>
      <c r="W137" s="644"/>
      <c r="X137" s="584" t="e">
        <f t="shared" si="48"/>
        <v>#DIV/0!</v>
      </c>
      <c r="Y137" s="584" t="e">
        <f t="shared" si="48"/>
        <v>#DIV/0!</v>
      </c>
      <c r="Z137" s="584" t="e">
        <f t="shared" si="48"/>
        <v>#DIV/0!</v>
      </c>
      <c r="AA137" s="584" t="e">
        <f t="shared" si="48"/>
        <v>#DIV/0!</v>
      </c>
    </row>
    <row r="138" spans="1:27" ht="22.5" hidden="1" customHeight="1" thickTop="1" thickBot="1" x14ac:dyDescent="0.3">
      <c r="A138" s="451">
        <v>1</v>
      </c>
      <c r="B138" s="450" t="s">
        <v>1343</v>
      </c>
      <c r="C138" s="450" t="s">
        <v>1343</v>
      </c>
      <c r="D138" s="450" t="s">
        <v>1350</v>
      </c>
      <c r="E138" s="450" t="s">
        <v>1358</v>
      </c>
      <c r="F138" s="450" t="s">
        <v>2138</v>
      </c>
      <c r="G138" s="450" t="s">
        <v>1360</v>
      </c>
      <c r="H138" s="450" t="s">
        <v>1413</v>
      </c>
      <c r="I138" s="450"/>
      <c r="J138" s="450"/>
      <c r="K138" s="647" t="s">
        <v>2195</v>
      </c>
      <c r="L138" s="641"/>
      <c r="M138" s="641"/>
      <c r="N138" s="641"/>
      <c r="O138" s="641">
        <f>+L138+M138-N138</f>
        <v>0</v>
      </c>
      <c r="P138" s="641"/>
      <c r="Q138" s="641"/>
      <c r="R138" s="641"/>
      <c r="S138" s="641"/>
      <c r="T138" s="641"/>
      <c r="U138" s="641"/>
      <c r="V138" s="648" t="e">
        <f t="shared" si="28"/>
        <v>#DIV/0!</v>
      </c>
      <c r="W138" s="644"/>
      <c r="X138" s="584" t="e">
        <f t="shared" si="48"/>
        <v>#DIV/0!</v>
      </c>
      <c r="Y138" s="584" t="e">
        <f t="shared" si="48"/>
        <v>#DIV/0!</v>
      </c>
      <c r="Z138" s="584" t="e">
        <f t="shared" si="48"/>
        <v>#DIV/0!</v>
      </c>
      <c r="AA138" s="584" t="e">
        <f t="shared" si="48"/>
        <v>#DIV/0!</v>
      </c>
    </row>
    <row r="139" spans="1:27" ht="22.5" hidden="1" customHeight="1" thickTop="1" thickBot="1" x14ac:dyDescent="0.3">
      <c r="A139" s="451">
        <v>1</v>
      </c>
      <c r="B139" s="450" t="s">
        <v>1343</v>
      </c>
      <c r="C139" s="450" t="s">
        <v>1343</v>
      </c>
      <c r="D139" s="450" t="s">
        <v>1350</v>
      </c>
      <c r="E139" s="450" t="s">
        <v>1358</v>
      </c>
      <c r="F139" s="450" t="s">
        <v>2138</v>
      </c>
      <c r="G139" s="450" t="s">
        <v>1360</v>
      </c>
      <c r="H139" s="450" t="s">
        <v>2076</v>
      </c>
      <c r="I139" s="450"/>
      <c r="J139" s="450"/>
      <c r="K139" s="647" t="s">
        <v>2196</v>
      </c>
      <c r="L139" s="641"/>
      <c r="M139" s="641"/>
      <c r="N139" s="641"/>
      <c r="O139" s="641">
        <f>+L139+M139-N139</f>
        <v>0</v>
      </c>
      <c r="P139" s="641"/>
      <c r="Q139" s="641"/>
      <c r="R139" s="641"/>
      <c r="S139" s="641"/>
      <c r="T139" s="641"/>
      <c r="U139" s="641"/>
      <c r="V139" s="648" t="e">
        <f t="shared" si="28"/>
        <v>#DIV/0!</v>
      </c>
      <c r="W139" s="644"/>
      <c r="X139" s="584" t="e">
        <f t="shared" si="48"/>
        <v>#DIV/0!</v>
      </c>
      <c r="Y139" s="584" t="e">
        <f t="shared" si="48"/>
        <v>#DIV/0!</v>
      </c>
      <c r="Z139" s="584" t="e">
        <f t="shared" si="48"/>
        <v>#DIV/0!</v>
      </c>
      <c r="AA139" s="584" t="e">
        <f t="shared" si="48"/>
        <v>#DIV/0!</v>
      </c>
    </row>
    <row r="140" spans="1:27" s="587" customFormat="1" ht="22.5" hidden="1" customHeight="1" thickTop="1" thickBot="1" x14ac:dyDescent="0.3">
      <c r="A140" s="633">
        <v>1</v>
      </c>
      <c r="B140" s="524" t="s">
        <v>1343</v>
      </c>
      <c r="C140" s="524" t="s">
        <v>1343</v>
      </c>
      <c r="D140" s="524" t="s">
        <v>1350</v>
      </c>
      <c r="E140" s="524" t="s">
        <v>1358</v>
      </c>
      <c r="F140" s="524" t="s">
        <v>2138</v>
      </c>
      <c r="G140" s="524" t="s">
        <v>1361</v>
      </c>
      <c r="H140" s="524"/>
      <c r="I140" s="524"/>
      <c r="J140" s="524"/>
      <c r="K140" s="634" t="s">
        <v>2197</v>
      </c>
      <c r="L140" s="635">
        <f>SUM(L141:L143)</f>
        <v>0</v>
      </c>
      <c r="M140" s="635">
        <f t="shared" ref="M140:U140" si="49">SUM(M141:M143)</f>
        <v>0</v>
      </c>
      <c r="N140" s="635">
        <f t="shared" si="49"/>
        <v>0</v>
      </c>
      <c r="O140" s="635">
        <f t="shared" si="49"/>
        <v>0</v>
      </c>
      <c r="P140" s="635">
        <f t="shared" si="49"/>
        <v>0</v>
      </c>
      <c r="Q140" s="635">
        <f t="shared" si="49"/>
        <v>0</v>
      </c>
      <c r="R140" s="635">
        <f t="shared" si="49"/>
        <v>0</v>
      </c>
      <c r="S140" s="635">
        <f t="shared" si="49"/>
        <v>0</v>
      </c>
      <c r="T140" s="635">
        <f t="shared" si="49"/>
        <v>0</v>
      </c>
      <c r="U140" s="635">
        <f t="shared" si="49"/>
        <v>0</v>
      </c>
      <c r="V140" s="636" t="e">
        <f t="shared" si="28"/>
        <v>#DIV/0!</v>
      </c>
      <c r="W140" s="637"/>
      <c r="X140" s="587" t="e">
        <f t="shared" si="48"/>
        <v>#DIV/0!</v>
      </c>
      <c r="Y140" s="587" t="e">
        <f t="shared" si="48"/>
        <v>#DIV/0!</v>
      </c>
      <c r="Z140" s="587" t="e">
        <f t="shared" si="48"/>
        <v>#DIV/0!</v>
      </c>
      <c r="AA140" s="587" t="e">
        <f t="shared" si="48"/>
        <v>#DIV/0!</v>
      </c>
    </row>
    <row r="141" spans="1:27" ht="22.5" hidden="1" customHeight="1" thickTop="1" thickBot="1" x14ac:dyDescent="0.3">
      <c r="A141" s="451">
        <v>1</v>
      </c>
      <c r="B141" s="450" t="s">
        <v>1343</v>
      </c>
      <c r="C141" s="450" t="s">
        <v>1343</v>
      </c>
      <c r="D141" s="450" t="s">
        <v>1350</v>
      </c>
      <c r="E141" s="450" t="s">
        <v>1358</v>
      </c>
      <c r="F141" s="450" t="s">
        <v>2138</v>
      </c>
      <c r="G141" s="450" t="s">
        <v>1361</v>
      </c>
      <c r="H141" s="450" t="s">
        <v>1343</v>
      </c>
      <c r="I141" s="450"/>
      <c r="J141" s="450"/>
      <c r="K141" s="647" t="s">
        <v>2198</v>
      </c>
      <c r="L141" s="641"/>
      <c r="M141" s="641"/>
      <c r="N141" s="641"/>
      <c r="O141" s="641">
        <f>+L141+M141-N141</f>
        <v>0</v>
      </c>
      <c r="P141" s="641"/>
      <c r="Q141" s="641"/>
      <c r="R141" s="641"/>
      <c r="S141" s="641"/>
      <c r="T141" s="641"/>
      <c r="U141" s="641"/>
      <c r="V141" s="648" t="e">
        <f t="shared" ref="V141:V205" si="50">+U141/T141</f>
        <v>#DIV/0!</v>
      </c>
      <c r="W141" s="644"/>
      <c r="X141" s="584" t="e">
        <f t="shared" si="48"/>
        <v>#DIV/0!</v>
      </c>
      <c r="Y141" s="584" t="e">
        <f t="shared" si="48"/>
        <v>#DIV/0!</v>
      </c>
      <c r="Z141" s="584" t="e">
        <f t="shared" si="48"/>
        <v>#DIV/0!</v>
      </c>
      <c r="AA141" s="584" t="e">
        <f t="shared" si="48"/>
        <v>#DIV/0!</v>
      </c>
    </row>
    <row r="142" spans="1:27" ht="22.5" hidden="1" customHeight="1" thickTop="1" thickBot="1" x14ac:dyDescent="0.3">
      <c r="A142" s="451">
        <v>1</v>
      </c>
      <c r="B142" s="450" t="s">
        <v>1343</v>
      </c>
      <c r="C142" s="450" t="s">
        <v>1343</v>
      </c>
      <c r="D142" s="450" t="s">
        <v>1350</v>
      </c>
      <c r="E142" s="450" t="s">
        <v>1358</v>
      </c>
      <c r="F142" s="450" t="s">
        <v>2138</v>
      </c>
      <c r="G142" s="450" t="s">
        <v>1361</v>
      </c>
      <c r="H142" s="450" t="s">
        <v>1413</v>
      </c>
      <c r="I142" s="450"/>
      <c r="J142" s="450"/>
      <c r="K142" s="647" t="s">
        <v>2199</v>
      </c>
      <c r="L142" s="641"/>
      <c r="M142" s="641"/>
      <c r="N142" s="641"/>
      <c r="O142" s="641">
        <f>+L142+M142-N142</f>
        <v>0</v>
      </c>
      <c r="P142" s="641"/>
      <c r="Q142" s="641"/>
      <c r="R142" s="641"/>
      <c r="S142" s="641"/>
      <c r="T142" s="641"/>
      <c r="U142" s="641"/>
      <c r="V142" s="648" t="e">
        <f t="shared" si="50"/>
        <v>#DIV/0!</v>
      </c>
      <c r="W142" s="644"/>
      <c r="X142" s="584" t="e">
        <f t="shared" si="48"/>
        <v>#DIV/0!</v>
      </c>
      <c r="Y142" s="584" t="e">
        <f t="shared" si="48"/>
        <v>#DIV/0!</v>
      </c>
      <c r="Z142" s="584" t="e">
        <f t="shared" si="48"/>
        <v>#DIV/0!</v>
      </c>
      <c r="AA142" s="584" t="e">
        <f t="shared" si="48"/>
        <v>#DIV/0!</v>
      </c>
    </row>
    <row r="143" spans="1:27" ht="22.5" hidden="1" customHeight="1" thickTop="1" thickBot="1" x14ac:dyDescent="0.3">
      <c r="A143" s="451">
        <v>1</v>
      </c>
      <c r="B143" s="450" t="s">
        <v>1343</v>
      </c>
      <c r="C143" s="450" t="s">
        <v>1343</v>
      </c>
      <c r="D143" s="450" t="s">
        <v>1350</v>
      </c>
      <c r="E143" s="450" t="s">
        <v>1358</v>
      </c>
      <c r="F143" s="450" t="s">
        <v>2138</v>
      </c>
      <c r="G143" s="450" t="s">
        <v>1361</v>
      </c>
      <c r="H143" s="450" t="s">
        <v>2076</v>
      </c>
      <c r="I143" s="450"/>
      <c r="J143" s="450"/>
      <c r="K143" s="647" t="s">
        <v>2200</v>
      </c>
      <c r="L143" s="641"/>
      <c r="M143" s="641"/>
      <c r="N143" s="641"/>
      <c r="O143" s="641">
        <f>+L143+M143-N143</f>
        <v>0</v>
      </c>
      <c r="P143" s="641"/>
      <c r="Q143" s="641"/>
      <c r="R143" s="641"/>
      <c r="S143" s="641"/>
      <c r="T143" s="641"/>
      <c r="U143" s="641"/>
      <c r="V143" s="648" t="e">
        <f t="shared" si="50"/>
        <v>#DIV/0!</v>
      </c>
      <c r="W143" s="644"/>
      <c r="X143" s="584" t="e">
        <f t="shared" si="48"/>
        <v>#DIV/0!</v>
      </c>
      <c r="Y143" s="584" t="e">
        <f t="shared" si="48"/>
        <v>#DIV/0!</v>
      </c>
      <c r="Z143" s="584" t="e">
        <f t="shared" si="48"/>
        <v>#DIV/0!</v>
      </c>
      <c r="AA143" s="584" t="e">
        <f t="shared" si="48"/>
        <v>#DIV/0!</v>
      </c>
    </row>
    <row r="144" spans="1:27" s="587" customFormat="1" ht="22.5" hidden="1" customHeight="1" thickTop="1" thickBot="1" x14ac:dyDescent="0.3">
      <c r="A144" s="633">
        <v>1</v>
      </c>
      <c r="B144" s="524" t="s">
        <v>1343</v>
      </c>
      <c r="C144" s="524" t="s">
        <v>1343</v>
      </c>
      <c r="D144" s="524" t="s">
        <v>1350</v>
      </c>
      <c r="E144" s="524" t="s">
        <v>1358</v>
      </c>
      <c r="F144" s="524" t="s">
        <v>2138</v>
      </c>
      <c r="G144" s="524" t="s">
        <v>1390</v>
      </c>
      <c r="H144" s="524"/>
      <c r="I144" s="524"/>
      <c r="J144" s="524"/>
      <c r="K144" s="634" t="s">
        <v>2201</v>
      </c>
      <c r="L144" s="635">
        <f>SUM(L145:L147)</f>
        <v>0</v>
      </c>
      <c r="M144" s="635">
        <f t="shared" ref="M144:U144" si="51">SUM(M145:M147)</f>
        <v>0</v>
      </c>
      <c r="N144" s="635">
        <f t="shared" si="51"/>
        <v>0</v>
      </c>
      <c r="O144" s="635">
        <f t="shared" si="51"/>
        <v>0</v>
      </c>
      <c r="P144" s="635">
        <f t="shared" si="51"/>
        <v>0</v>
      </c>
      <c r="Q144" s="635">
        <f t="shared" si="51"/>
        <v>0</v>
      </c>
      <c r="R144" s="635">
        <f t="shared" si="51"/>
        <v>0</v>
      </c>
      <c r="S144" s="635">
        <f t="shared" si="51"/>
        <v>0</v>
      </c>
      <c r="T144" s="635">
        <f t="shared" si="51"/>
        <v>0</v>
      </c>
      <c r="U144" s="635">
        <f t="shared" si="51"/>
        <v>0</v>
      </c>
      <c r="V144" s="636" t="e">
        <f t="shared" si="50"/>
        <v>#DIV/0!</v>
      </c>
      <c r="W144" s="637"/>
      <c r="X144" s="587" t="e">
        <f t="shared" si="48"/>
        <v>#DIV/0!</v>
      </c>
      <c r="Y144" s="587" t="e">
        <f t="shared" si="48"/>
        <v>#DIV/0!</v>
      </c>
      <c r="Z144" s="587" t="e">
        <f t="shared" si="48"/>
        <v>#DIV/0!</v>
      </c>
      <c r="AA144" s="587" t="e">
        <f t="shared" si="48"/>
        <v>#DIV/0!</v>
      </c>
    </row>
    <row r="145" spans="1:27" ht="22.5" hidden="1" customHeight="1" thickTop="1" thickBot="1" x14ac:dyDescent="0.3">
      <c r="A145" s="451">
        <v>1</v>
      </c>
      <c r="B145" s="450" t="s">
        <v>1343</v>
      </c>
      <c r="C145" s="450" t="s">
        <v>1343</v>
      </c>
      <c r="D145" s="450" t="s">
        <v>1350</v>
      </c>
      <c r="E145" s="450" t="s">
        <v>1358</v>
      </c>
      <c r="F145" s="450" t="s">
        <v>2138</v>
      </c>
      <c r="G145" s="450" t="s">
        <v>1390</v>
      </c>
      <c r="H145" s="450" t="s">
        <v>1343</v>
      </c>
      <c r="I145" s="450"/>
      <c r="J145" s="450"/>
      <c r="K145" s="647" t="s">
        <v>2202</v>
      </c>
      <c r="L145" s="641"/>
      <c r="M145" s="641"/>
      <c r="N145" s="641"/>
      <c r="O145" s="641">
        <f>+L145+M145-N145</f>
        <v>0</v>
      </c>
      <c r="P145" s="641">
        <f>+O145</f>
        <v>0</v>
      </c>
      <c r="Q145" s="641">
        <v>0</v>
      </c>
      <c r="R145" s="641"/>
      <c r="S145" s="641"/>
      <c r="T145" s="641"/>
      <c r="U145" s="641"/>
      <c r="V145" s="648" t="e">
        <f t="shared" si="50"/>
        <v>#DIV/0!</v>
      </c>
      <c r="W145" s="644"/>
      <c r="X145" s="584" t="e">
        <f t="shared" si="48"/>
        <v>#DIV/0!</v>
      </c>
      <c r="Y145" s="584" t="e">
        <f t="shared" si="48"/>
        <v>#DIV/0!</v>
      </c>
      <c r="Z145" s="584" t="e">
        <f t="shared" si="48"/>
        <v>#DIV/0!</v>
      </c>
      <c r="AA145" s="584" t="e">
        <f t="shared" si="48"/>
        <v>#DIV/0!</v>
      </c>
    </row>
    <row r="146" spans="1:27" ht="22.5" hidden="1" customHeight="1" thickTop="1" thickBot="1" x14ac:dyDescent="0.3">
      <c r="A146" s="451">
        <v>1</v>
      </c>
      <c r="B146" s="450" t="s">
        <v>1343</v>
      </c>
      <c r="C146" s="450" t="s">
        <v>1343</v>
      </c>
      <c r="D146" s="450" t="s">
        <v>1350</v>
      </c>
      <c r="E146" s="450" t="s">
        <v>1358</v>
      </c>
      <c r="F146" s="450" t="s">
        <v>2138</v>
      </c>
      <c r="G146" s="450" t="s">
        <v>1390</v>
      </c>
      <c r="H146" s="450" t="s">
        <v>1413</v>
      </c>
      <c r="I146" s="450"/>
      <c r="J146" s="450"/>
      <c r="K146" s="647" t="s">
        <v>2203</v>
      </c>
      <c r="L146" s="641"/>
      <c r="M146" s="641"/>
      <c r="N146" s="641"/>
      <c r="O146" s="641">
        <f>+L146+M146-N146</f>
        <v>0</v>
      </c>
      <c r="P146" s="641"/>
      <c r="Q146" s="641"/>
      <c r="R146" s="641"/>
      <c r="S146" s="641"/>
      <c r="T146" s="641"/>
      <c r="U146" s="641"/>
      <c r="V146" s="648" t="e">
        <f t="shared" si="50"/>
        <v>#DIV/0!</v>
      </c>
      <c r="W146" s="644"/>
      <c r="X146" s="584" t="e">
        <f t="shared" si="48"/>
        <v>#DIV/0!</v>
      </c>
      <c r="Y146" s="584" t="e">
        <f t="shared" si="48"/>
        <v>#DIV/0!</v>
      </c>
      <c r="Z146" s="584" t="e">
        <f t="shared" si="48"/>
        <v>#DIV/0!</v>
      </c>
      <c r="AA146" s="584" t="e">
        <f t="shared" si="48"/>
        <v>#DIV/0!</v>
      </c>
    </row>
    <row r="147" spans="1:27" ht="22.5" hidden="1" customHeight="1" thickTop="1" thickBot="1" x14ac:dyDescent="0.3">
      <c r="A147" s="451">
        <v>1</v>
      </c>
      <c r="B147" s="450" t="s">
        <v>1343</v>
      </c>
      <c r="C147" s="450" t="s">
        <v>1343</v>
      </c>
      <c r="D147" s="450" t="s">
        <v>1350</v>
      </c>
      <c r="E147" s="450" t="s">
        <v>1358</v>
      </c>
      <c r="F147" s="450" t="s">
        <v>2138</v>
      </c>
      <c r="G147" s="450" t="s">
        <v>1390</v>
      </c>
      <c r="H147" s="450" t="s">
        <v>2076</v>
      </c>
      <c r="I147" s="450"/>
      <c r="J147" s="450"/>
      <c r="K147" s="647" t="s">
        <v>2204</v>
      </c>
      <c r="L147" s="641"/>
      <c r="M147" s="641"/>
      <c r="N147" s="641"/>
      <c r="O147" s="641">
        <f>+L147+M147-N147</f>
        <v>0</v>
      </c>
      <c r="P147" s="641"/>
      <c r="Q147" s="641"/>
      <c r="R147" s="641"/>
      <c r="S147" s="641"/>
      <c r="T147" s="641"/>
      <c r="U147" s="641"/>
      <c r="V147" s="648" t="e">
        <f t="shared" si="50"/>
        <v>#DIV/0!</v>
      </c>
      <c r="W147" s="644"/>
      <c r="X147" s="584" t="e">
        <f t="shared" si="48"/>
        <v>#DIV/0!</v>
      </c>
      <c r="Y147" s="584" t="e">
        <f t="shared" si="48"/>
        <v>#DIV/0!</v>
      </c>
      <c r="Z147" s="584" t="e">
        <f t="shared" si="48"/>
        <v>#DIV/0!</v>
      </c>
      <c r="AA147" s="584" t="e">
        <f t="shared" si="48"/>
        <v>#DIV/0!</v>
      </c>
    </row>
    <row r="148" spans="1:27" s="587" customFormat="1" ht="22.5" hidden="1" customHeight="1" thickTop="1" thickBot="1" x14ac:dyDescent="0.3">
      <c r="A148" s="633">
        <v>1</v>
      </c>
      <c r="B148" s="524" t="s">
        <v>1343</v>
      </c>
      <c r="C148" s="524" t="s">
        <v>1343</v>
      </c>
      <c r="D148" s="524" t="s">
        <v>1350</v>
      </c>
      <c r="E148" s="524" t="s">
        <v>1358</v>
      </c>
      <c r="F148" s="524" t="s">
        <v>2138</v>
      </c>
      <c r="G148" s="524" t="s">
        <v>1391</v>
      </c>
      <c r="H148" s="524"/>
      <c r="I148" s="524"/>
      <c r="J148" s="524"/>
      <c r="K148" s="634" t="s">
        <v>2205</v>
      </c>
      <c r="L148" s="635">
        <f>SUM(L149:L151)</f>
        <v>0</v>
      </c>
      <c r="M148" s="635">
        <f t="shared" ref="M148:U148" si="52">SUM(M149:M151)</f>
        <v>0</v>
      </c>
      <c r="N148" s="635">
        <f t="shared" si="52"/>
        <v>0</v>
      </c>
      <c r="O148" s="635">
        <f t="shared" si="52"/>
        <v>0</v>
      </c>
      <c r="P148" s="635">
        <f t="shared" si="52"/>
        <v>0</v>
      </c>
      <c r="Q148" s="635">
        <f t="shared" si="52"/>
        <v>0</v>
      </c>
      <c r="R148" s="635">
        <f t="shared" si="52"/>
        <v>0</v>
      </c>
      <c r="S148" s="635">
        <f t="shared" si="52"/>
        <v>0</v>
      </c>
      <c r="T148" s="635">
        <f t="shared" si="52"/>
        <v>0</v>
      </c>
      <c r="U148" s="635">
        <f t="shared" si="52"/>
        <v>0</v>
      </c>
      <c r="V148" s="636" t="e">
        <f t="shared" si="50"/>
        <v>#DIV/0!</v>
      </c>
      <c r="W148" s="637"/>
      <c r="X148" s="587" t="e">
        <f t="shared" si="48"/>
        <v>#DIV/0!</v>
      </c>
      <c r="Y148" s="587" t="e">
        <f t="shared" si="48"/>
        <v>#DIV/0!</v>
      </c>
      <c r="Z148" s="587" t="e">
        <f t="shared" si="48"/>
        <v>#DIV/0!</v>
      </c>
      <c r="AA148" s="587" t="e">
        <f t="shared" si="48"/>
        <v>#DIV/0!</v>
      </c>
    </row>
    <row r="149" spans="1:27" ht="22.5" hidden="1" customHeight="1" thickTop="1" thickBot="1" x14ac:dyDescent="0.3">
      <c r="A149" s="451">
        <v>1</v>
      </c>
      <c r="B149" s="450" t="s">
        <v>1343</v>
      </c>
      <c r="C149" s="450" t="s">
        <v>1343</v>
      </c>
      <c r="D149" s="450" t="s">
        <v>1350</v>
      </c>
      <c r="E149" s="450" t="s">
        <v>1358</v>
      </c>
      <c r="F149" s="450" t="s">
        <v>2138</v>
      </c>
      <c r="G149" s="450" t="s">
        <v>1391</v>
      </c>
      <c r="H149" s="450" t="s">
        <v>1343</v>
      </c>
      <c r="I149" s="450"/>
      <c r="J149" s="450"/>
      <c r="K149" s="647" t="s">
        <v>2206</v>
      </c>
      <c r="L149" s="641"/>
      <c r="M149" s="641"/>
      <c r="N149" s="641"/>
      <c r="O149" s="641">
        <f>+L149+M149-N149</f>
        <v>0</v>
      </c>
      <c r="P149" s="641"/>
      <c r="Q149" s="641"/>
      <c r="R149" s="641"/>
      <c r="S149" s="641"/>
      <c r="T149" s="641"/>
      <c r="U149" s="641"/>
      <c r="V149" s="648" t="e">
        <f t="shared" si="50"/>
        <v>#DIV/0!</v>
      </c>
      <c r="W149" s="644"/>
      <c r="X149" s="584" t="e">
        <f t="shared" si="48"/>
        <v>#DIV/0!</v>
      </c>
      <c r="Y149" s="584" t="e">
        <f t="shared" si="48"/>
        <v>#DIV/0!</v>
      </c>
      <c r="Z149" s="584" t="e">
        <f t="shared" si="48"/>
        <v>#DIV/0!</v>
      </c>
      <c r="AA149" s="584" t="e">
        <f t="shared" si="48"/>
        <v>#DIV/0!</v>
      </c>
    </row>
    <row r="150" spans="1:27" ht="22.5" hidden="1" customHeight="1" thickTop="1" thickBot="1" x14ac:dyDescent="0.3">
      <c r="A150" s="451">
        <v>1</v>
      </c>
      <c r="B150" s="450" t="s">
        <v>1343</v>
      </c>
      <c r="C150" s="450" t="s">
        <v>1343</v>
      </c>
      <c r="D150" s="450" t="s">
        <v>1350</v>
      </c>
      <c r="E150" s="450" t="s">
        <v>1358</v>
      </c>
      <c r="F150" s="450" t="s">
        <v>2138</v>
      </c>
      <c r="G150" s="450" t="s">
        <v>1391</v>
      </c>
      <c r="H150" s="450" t="s">
        <v>1413</v>
      </c>
      <c r="I150" s="450"/>
      <c r="J150" s="450"/>
      <c r="K150" s="647" t="s">
        <v>2207</v>
      </c>
      <c r="L150" s="641"/>
      <c r="M150" s="641"/>
      <c r="N150" s="641"/>
      <c r="O150" s="641">
        <f>+L150+M150-N150</f>
        <v>0</v>
      </c>
      <c r="P150" s="641"/>
      <c r="Q150" s="641"/>
      <c r="R150" s="641"/>
      <c r="S150" s="641"/>
      <c r="T150" s="641"/>
      <c r="U150" s="641"/>
      <c r="V150" s="648" t="e">
        <f t="shared" si="50"/>
        <v>#DIV/0!</v>
      </c>
      <c r="W150" s="644"/>
      <c r="X150" s="584" t="e">
        <f t="shared" si="48"/>
        <v>#DIV/0!</v>
      </c>
      <c r="Y150" s="584" t="e">
        <f t="shared" si="48"/>
        <v>#DIV/0!</v>
      </c>
      <c r="Z150" s="584" t="e">
        <f t="shared" si="48"/>
        <v>#DIV/0!</v>
      </c>
      <c r="AA150" s="584" t="e">
        <f t="shared" si="48"/>
        <v>#DIV/0!</v>
      </c>
    </row>
    <row r="151" spans="1:27" ht="22.5" hidden="1" customHeight="1" thickTop="1" thickBot="1" x14ac:dyDescent="0.3">
      <c r="A151" s="451">
        <v>1</v>
      </c>
      <c r="B151" s="450" t="s">
        <v>1343</v>
      </c>
      <c r="C151" s="450" t="s">
        <v>1343</v>
      </c>
      <c r="D151" s="450" t="s">
        <v>1350</v>
      </c>
      <c r="E151" s="450" t="s">
        <v>1358</v>
      </c>
      <c r="F151" s="450" t="s">
        <v>2138</v>
      </c>
      <c r="G151" s="450" t="s">
        <v>1391</v>
      </c>
      <c r="H151" s="450" t="s">
        <v>2076</v>
      </c>
      <c r="I151" s="450"/>
      <c r="J151" s="450"/>
      <c r="K151" s="647" t="s">
        <v>2208</v>
      </c>
      <c r="L151" s="641"/>
      <c r="M151" s="641"/>
      <c r="N151" s="641"/>
      <c r="O151" s="641">
        <f>+L151+M151-N151</f>
        <v>0</v>
      </c>
      <c r="P151" s="641"/>
      <c r="Q151" s="641"/>
      <c r="R151" s="641"/>
      <c r="S151" s="641"/>
      <c r="T151" s="641"/>
      <c r="U151" s="641"/>
      <c r="V151" s="648" t="e">
        <f t="shared" si="50"/>
        <v>#DIV/0!</v>
      </c>
      <c r="W151" s="644"/>
      <c r="X151" s="584" t="e">
        <f t="shared" si="48"/>
        <v>#DIV/0!</v>
      </c>
      <c r="Y151" s="584" t="e">
        <f t="shared" si="48"/>
        <v>#DIV/0!</v>
      </c>
      <c r="Z151" s="584" t="e">
        <f t="shared" si="48"/>
        <v>#DIV/0!</v>
      </c>
      <c r="AA151" s="584" t="e">
        <f t="shared" si="48"/>
        <v>#DIV/0!</v>
      </c>
    </row>
    <row r="152" spans="1:27" s="663" customFormat="1" ht="22.5" hidden="1" customHeight="1" thickTop="1" thickBot="1" x14ac:dyDescent="0.3">
      <c r="A152" s="655">
        <v>1</v>
      </c>
      <c r="B152" s="656" t="s">
        <v>1343</v>
      </c>
      <c r="C152" s="656" t="s">
        <v>1343</v>
      </c>
      <c r="D152" s="656" t="s">
        <v>1350</v>
      </c>
      <c r="E152" s="656" t="s">
        <v>1358</v>
      </c>
      <c r="F152" s="656" t="s">
        <v>2160</v>
      </c>
      <c r="G152" s="656"/>
      <c r="H152" s="656"/>
      <c r="I152" s="656"/>
      <c r="J152" s="656"/>
      <c r="K152" s="658" t="s">
        <v>2209</v>
      </c>
      <c r="L152" s="659">
        <f>+L153+L156+L160+L164+L168+L172+L176+L180+L184+L188</f>
        <v>0</v>
      </c>
      <c r="M152" s="659">
        <f t="shared" ref="M152:U152" si="53">+M153+M156+M160+M164+M168+M172+M176+M180+M184+M188</f>
        <v>0</v>
      </c>
      <c r="N152" s="659">
        <f t="shared" si="53"/>
        <v>0</v>
      </c>
      <c r="O152" s="659">
        <f t="shared" si="53"/>
        <v>0</v>
      </c>
      <c r="P152" s="659">
        <f t="shared" si="53"/>
        <v>0</v>
      </c>
      <c r="Q152" s="659">
        <f t="shared" si="53"/>
        <v>0</v>
      </c>
      <c r="R152" s="659">
        <f t="shared" si="53"/>
        <v>0</v>
      </c>
      <c r="S152" s="659">
        <f t="shared" si="53"/>
        <v>0</v>
      </c>
      <c r="T152" s="659">
        <f t="shared" si="53"/>
        <v>0</v>
      </c>
      <c r="U152" s="659">
        <f t="shared" si="53"/>
        <v>0</v>
      </c>
      <c r="V152" s="660" t="e">
        <f t="shared" si="50"/>
        <v>#DIV/0!</v>
      </c>
      <c r="W152" s="661"/>
      <c r="X152" s="663" t="e">
        <f t="shared" si="48"/>
        <v>#DIV/0!</v>
      </c>
      <c r="Y152" s="663" t="e">
        <f t="shared" si="48"/>
        <v>#DIV/0!</v>
      </c>
      <c r="Z152" s="663" t="e">
        <f t="shared" si="48"/>
        <v>#DIV/0!</v>
      </c>
      <c r="AA152" s="663" t="e">
        <f t="shared" si="48"/>
        <v>#DIV/0!</v>
      </c>
    </row>
    <row r="153" spans="1:27" s="587" customFormat="1" ht="22.5" hidden="1" customHeight="1" thickTop="1" thickBot="1" x14ac:dyDescent="0.3">
      <c r="A153" s="633">
        <v>1</v>
      </c>
      <c r="B153" s="524" t="s">
        <v>1343</v>
      </c>
      <c r="C153" s="524" t="s">
        <v>1343</v>
      </c>
      <c r="D153" s="524" t="s">
        <v>1350</v>
      </c>
      <c r="E153" s="524" t="s">
        <v>1358</v>
      </c>
      <c r="F153" s="524" t="s">
        <v>2160</v>
      </c>
      <c r="G153" s="524" t="s">
        <v>2168</v>
      </c>
      <c r="H153" s="524"/>
      <c r="I153" s="524"/>
      <c r="J153" s="524"/>
      <c r="K153" s="634" t="s">
        <v>1365</v>
      </c>
      <c r="L153" s="635">
        <f>SUM(L154:L155)</f>
        <v>0</v>
      </c>
      <c r="M153" s="635">
        <f t="shared" ref="M153:U153" si="54">SUM(M154:M155)</f>
        <v>0</v>
      </c>
      <c r="N153" s="635">
        <f t="shared" si="54"/>
        <v>0</v>
      </c>
      <c r="O153" s="635">
        <f t="shared" si="54"/>
        <v>0</v>
      </c>
      <c r="P153" s="635">
        <f t="shared" si="54"/>
        <v>0</v>
      </c>
      <c r="Q153" s="635">
        <f t="shared" si="54"/>
        <v>0</v>
      </c>
      <c r="R153" s="635">
        <f t="shared" si="54"/>
        <v>0</v>
      </c>
      <c r="S153" s="635">
        <f t="shared" si="54"/>
        <v>0</v>
      </c>
      <c r="T153" s="635">
        <f t="shared" si="54"/>
        <v>0</v>
      </c>
      <c r="U153" s="635">
        <f t="shared" si="54"/>
        <v>0</v>
      </c>
      <c r="V153" s="636" t="e">
        <f t="shared" si="50"/>
        <v>#DIV/0!</v>
      </c>
      <c r="W153" s="637"/>
      <c r="X153" s="587" t="e">
        <f t="shared" si="48"/>
        <v>#DIV/0!</v>
      </c>
      <c r="Y153" s="587" t="e">
        <f t="shared" si="48"/>
        <v>#DIV/0!</v>
      </c>
      <c r="Z153" s="587" t="e">
        <f t="shared" si="48"/>
        <v>#DIV/0!</v>
      </c>
      <c r="AA153" s="587" t="e">
        <f t="shared" si="48"/>
        <v>#DIV/0!</v>
      </c>
    </row>
    <row r="154" spans="1:27" ht="22.5" hidden="1" customHeight="1" thickTop="1" thickBot="1" x14ac:dyDescent="0.3">
      <c r="A154" s="451">
        <v>1</v>
      </c>
      <c r="B154" s="450" t="s">
        <v>1343</v>
      </c>
      <c r="C154" s="450" t="s">
        <v>1343</v>
      </c>
      <c r="D154" s="450" t="s">
        <v>1350</v>
      </c>
      <c r="E154" s="450" t="s">
        <v>1358</v>
      </c>
      <c r="F154" s="450" t="s">
        <v>2160</v>
      </c>
      <c r="G154" s="450" t="s">
        <v>2168</v>
      </c>
      <c r="H154" s="450" t="s">
        <v>1343</v>
      </c>
      <c r="I154" s="450"/>
      <c r="J154" s="450"/>
      <c r="K154" s="647" t="s">
        <v>2169</v>
      </c>
      <c r="L154" s="641"/>
      <c r="M154" s="641"/>
      <c r="N154" s="641"/>
      <c r="O154" s="641">
        <f>+L154+M154-N154</f>
        <v>0</v>
      </c>
      <c r="P154" s="641"/>
      <c r="Q154" s="641"/>
      <c r="R154" s="641"/>
      <c r="S154" s="641"/>
      <c r="T154" s="641"/>
      <c r="U154" s="641"/>
      <c r="V154" s="648" t="e">
        <f t="shared" si="50"/>
        <v>#DIV/0!</v>
      </c>
      <c r="W154" s="644"/>
      <c r="X154" s="584" t="e">
        <f t="shared" si="48"/>
        <v>#DIV/0!</v>
      </c>
      <c r="Y154" s="584" t="e">
        <f t="shared" si="48"/>
        <v>#DIV/0!</v>
      </c>
      <c r="Z154" s="584" t="e">
        <f t="shared" si="48"/>
        <v>#DIV/0!</v>
      </c>
      <c r="AA154" s="584" t="e">
        <f t="shared" si="48"/>
        <v>#DIV/0!</v>
      </c>
    </row>
    <row r="155" spans="1:27" ht="22.5" hidden="1" customHeight="1" thickTop="1" thickBot="1" x14ac:dyDescent="0.3">
      <c r="A155" s="451">
        <v>1</v>
      </c>
      <c r="B155" s="450" t="s">
        <v>1343</v>
      </c>
      <c r="C155" s="450" t="s">
        <v>1343</v>
      </c>
      <c r="D155" s="450" t="s">
        <v>1350</v>
      </c>
      <c r="E155" s="450" t="s">
        <v>1358</v>
      </c>
      <c r="F155" s="450" t="s">
        <v>2160</v>
      </c>
      <c r="G155" s="450" t="s">
        <v>2168</v>
      </c>
      <c r="H155" s="450" t="s">
        <v>1413</v>
      </c>
      <c r="I155" s="450"/>
      <c r="J155" s="450"/>
      <c r="K155" s="647" t="s">
        <v>2210</v>
      </c>
      <c r="L155" s="641"/>
      <c r="M155" s="641"/>
      <c r="N155" s="641"/>
      <c r="O155" s="641">
        <f>+L155+M155-N155</f>
        <v>0</v>
      </c>
      <c r="P155" s="641"/>
      <c r="Q155" s="641"/>
      <c r="R155" s="641"/>
      <c r="S155" s="641"/>
      <c r="T155" s="641"/>
      <c r="U155" s="641"/>
      <c r="V155" s="648" t="e">
        <f t="shared" si="50"/>
        <v>#DIV/0!</v>
      </c>
      <c r="W155" s="644"/>
      <c r="X155" s="584" t="e">
        <f t="shared" si="48"/>
        <v>#DIV/0!</v>
      </c>
      <c r="Y155" s="584" t="e">
        <f t="shared" si="48"/>
        <v>#DIV/0!</v>
      </c>
      <c r="Z155" s="584" t="e">
        <f t="shared" si="48"/>
        <v>#DIV/0!</v>
      </c>
      <c r="AA155" s="584" t="e">
        <f t="shared" si="48"/>
        <v>#DIV/0!</v>
      </c>
    </row>
    <row r="156" spans="1:27" s="587" customFormat="1" ht="22.5" hidden="1" customHeight="1" thickTop="1" thickBot="1" x14ac:dyDescent="0.3">
      <c r="A156" s="633">
        <v>1</v>
      </c>
      <c r="B156" s="524" t="s">
        <v>1343</v>
      </c>
      <c r="C156" s="524" t="s">
        <v>1343</v>
      </c>
      <c r="D156" s="524" t="s">
        <v>1350</v>
      </c>
      <c r="E156" s="524" t="s">
        <v>1358</v>
      </c>
      <c r="F156" s="524" t="s">
        <v>2160</v>
      </c>
      <c r="G156" s="524" t="s">
        <v>1345</v>
      </c>
      <c r="H156" s="524"/>
      <c r="I156" s="524"/>
      <c r="J156" s="524"/>
      <c r="K156" s="634" t="s">
        <v>2172</v>
      </c>
      <c r="L156" s="635">
        <f>SUM(L157:L159)</f>
        <v>0</v>
      </c>
      <c r="M156" s="635">
        <f t="shared" ref="M156:U156" si="55">SUM(M157:M159)</f>
        <v>0</v>
      </c>
      <c r="N156" s="635">
        <f t="shared" si="55"/>
        <v>0</v>
      </c>
      <c r="O156" s="635">
        <f t="shared" si="55"/>
        <v>0</v>
      </c>
      <c r="P156" s="635">
        <f t="shared" si="55"/>
        <v>0</v>
      </c>
      <c r="Q156" s="635">
        <f t="shared" si="55"/>
        <v>0</v>
      </c>
      <c r="R156" s="635">
        <f t="shared" si="55"/>
        <v>0</v>
      </c>
      <c r="S156" s="635">
        <f t="shared" si="55"/>
        <v>0</v>
      </c>
      <c r="T156" s="635">
        <f t="shared" si="55"/>
        <v>0</v>
      </c>
      <c r="U156" s="635">
        <f t="shared" si="55"/>
        <v>0</v>
      </c>
      <c r="V156" s="636" t="e">
        <f t="shared" si="50"/>
        <v>#DIV/0!</v>
      </c>
      <c r="W156" s="637"/>
      <c r="X156" s="587" t="e">
        <f t="shared" si="48"/>
        <v>#DIV/0!</v>
      </c>
      <c r="Y156" s="587" t="e">
        <f t="shared" si="48"/>
        <v>#DIV/0!</v>
      </c>
      <c r="Z156" s="587" t="e">
        <f t="shared" si="48"/>
        <v>#DIV/0!</v>
      </c>
      <c r="AA156" s="587" t="e">
        <f t="shared" si="48"/>
        <v>#DIV/0!</v>
      </c>
    </row>
    <row r="157" spans="1:27" ht="22.5" hidden="1" customHeight="1" thickTop="1" thickBot="1" x14ac:dyDescent="0.3">
      <c r="A157" s="451">
        <v>1</v>
      </c>
      <c r="B157" s="450" t="s">
        <v>1343</v>
      </c>
      <c r="C157" s="450" t="s">
        <v>1343</v>
      </c>
      <c r="D157" s="450" t="s">
        <v>1350</v>
      </c>
      <c r="E157" s="450" t="s">
        <v>1358</v>
      </c>
      <c r="F157" s="450" t="s">
        <v>2160</v>
      </c>
      <c r="G157" s="450" t="s">
        <v>1345</v>
      </c>
      <c r="H157" s="450" t="s">
        <v>1343</v>
      </c>
      <c r="I157" s="450"/>
      <c r="J157" s="450"/>
      <c r="K157" s="647" t="s">
        <v>2173</v>
      </c>
      <c r="L157" s="641"/>
      <c r="M157" s="641"/>
      <c r="N157" s="641"/>
      <c r="O157" s="641">
        <f>+L157+M157-N157</f>
        <v>0</v>
      </c>
      <c r="P157" s="641"/>
      <c r="Q157" s="641"/>
      <c r="R157" s="641"/>
      <c r="S157" s="641"/>
      <c r="T157" s="641"/>
      <c r="U157" s="641"/>
      <c r="V157" s="648" t="e">
        <f t="shared" si="50"/>
        <v>#DIV/0!</v>
      </c>
      <c r="W157" s="644"/>
      <c r="X157" s="584" t="e">
        <f t="shared" si="48"/>
        <v>#DIV/0!</v>
      </c>
      <c r="Y157" s="584" t="e">
        <f t="shared" si="48"/>
        <v>#DIV/0!</v>
      </c>
      <c r="Z157" s="584" t="e">
        <f t="shared" si="48"/>
        <v>#DIV/0!</v>
      </c>
      <c r="AA157" s="584" t="e">
        <f t="shared" si="48"/>
        <v>#DIV/0!</v>
      </c>
    </row>
    <row r="158" spans="1:27" ht="22.5" hidden="1" customHeight="1" thickTop="1" thickBot="1" x14ac:dyDescent="0.3">
      <c r="A158" s="451">
        <v>1</v>
      </c>
      <c r="B158" s="450" t="s">
        <v>1343</v>
      </c>
      <c r="C158" s="450" t="s">
        <v>1343</v>
      </c>
      <c r="D158" s="450" t="s">
        <v>1350</v>
      </c>
      <c r="E158" s="450" t="s">
        <v>1358</v>
      </c>
      <c r="F158" s="450" t="s">
        <v>2160</v>
      </c>
      <c r="G158" s="450" t="s">
        <v>1345</v>
      </c>
      <c r="H158" s="450" t="s">
        <v>1413</v>
      </c>
      <c r="I158" s="450"/>
      <c r="J158" s="450"/>
      <c r="K158" s="647" t="s">
        <v>2174</v>
      </c>
      <c r="L158" s="641"/>
      <c r="M158" s="641"/>
      <c r="N158" s="641"/>
      <c r="O158" s="641">
        <f>+L158+M158-N158</f>
        <v>0</v>
      </c>
      <c r="P158" s="641"/>
      <c r="Q158" s="641"/>
      <c r="R158" s="641"/>
      <c r="S158" s="641"/>
      <c r="T158" s="641"/>
      <c r="U158" s="641"/>
      <c r="V158" s="648" t="e">
        <f t="shared" si="50"/>
        <v>#DIV/0!</v>
      </c>
      <c r="W158" s="644"/>
      <c r="X158" s="584" t="e">
        <f t="shared" si="48"/>
        <v>#DIV/0!</v>
      </c>
      <c r="Y158" s="584" t="e">
        <f t="shared" si="48"/>
        <v>#DIV/0!</v>
      </c>
      <c r="Z158" s="584" t="e">
        <f t="shared" si="48"/>
        <v>#DIV/0!</v>
      </c>
      <c r="AA158" s="584" t="e">
        <f t="shared" si="48"/>
        <v>#DIV/0!</v>
      </c>
    </row>
    <row r="159" spans="1:27" ht="22.5" hidden="1" customHeight="1" thickTop="1" thickBot="1" x14ac:dyDescent="0.3">
      <c r="A159" s="451">
        <v>1</v>
      </c>
      <c r="B159" s="450" t="s">
        <v>1343</v>
      </c>
      <c r="C159" s="450" t="s">
        <v>1343</v>
      </c>
      <c r="D159" s="450" t="s">
        <v>1350</v>
      </c>
      <c r="E159" s="450" t="s">
        <v>1358</v>
      </c>
      <c r="F159" s="450" t="s">
        <v>2160</v>
      </c>
      <c r="G159" s="450" t="s">
        <v>1345</v>
      </c>
      <c r="H159" s="450" t="s">
        <v>2076</v>
      </c>
      <c r="I159" s="450"/>
      <c r="J159" s="450"/>
      <c r="K159" s="647" t="s">
        <v>2175</v>
      </c>
      <c r="L159" s="641"/>
      <c r="M159" s="641"/>
      <c r="N159" s="641"/>
      <c r="O159" s="641">
        <f>+L159+M159-N159</f>
        <v>0</v>
      </c>
      <c r="P159" s="641"/>
      <c r="Q159" s="641"/>
      <c r="R159" s="641"/>
      <c r="S159" s="641"/>
      <c r="T159" s="641"/>
      <c r="U159" s="641"/>
      <c r="V159" s="648" t="e">
        <f t="shared" si="50"/>
        <v>#DIV/0!</v>
      </c>
      <c r="W159" s="644"/>
      <c r="X159" s="584" t="e">
        <f t="shared" si="48"/>
        <v>#DIV/0!</v>
      </c>
      <c r="Y159" s="584" t="e">
        <f t="shared" si="48"/>
        <v>#DIV/0!</v>
      </c>
      <c r="Z159" s="584" t="e">
        <f t="shared" si="48"/>
        <v>#DIV/0!</v>
      </c>
      <c r="AA159" s="584" t="e">
        <f t="shared" si="48"/>
        <v>#DIV/0!</v>
      </c>
    </row>
    <row r="160" spans="1:27" s="587" customFormat="1" ht="22.5" hidden="1" customHeight="1" thickTop="1" thickBot="1" x14ac:dyDescent="0.3">
      <c r="A160" s="633">
        <v>1</v>
      </c>
      <c r="B160" s="524" t="s">
        <v>1343</v>
      </c>
      <c r="C160" s="524" t="s">
        <v>1343</v>
      </c>
      <c r="D160" s="524" t="s">
        <v>1350</v>
      </c>
      <c r="E160" s="524" t="s">
        <v>1358</v>
      </c>
      <c r="F160" s="524" t="s">
        <v>2160</v>
      </c>
      <c r="G160" s="524" t="s">
        <v>1350</v>
      </c>
      <c r="H160" s="524"/>
      <c r="I160" s="524"/>
      <c r="J160" s="524"/>
      <c r="K160" s="634" t="s">
        <v>2176</v>
      </c>
      <c r="L160" s="635">
        <f>SUM(L161:L163)</f>
        <v>0</v>
      </c>
      <c r="M160" s="635">
        <f t="shared" ref="M160:U160" si="56">SUM(M161:M163)</f>
        <v>0</v>
      </c>
      <c r="N160" s="635">
        <f t="shared" si="56"/>
        <v>0</v>
      </c>
      <c r="O160" s="635">
        <f t="shared" si="56"/>
        <v>0</v>
      </c>
      <c r="P160" s="635">
        <f t="shared" si="56"/>
        <v>0</v>
      </c>
      <c r="Q160" s="635">
        <f t="shared" si="56"/>
        <v>0</v>
      </c>
      <c r="R160" s="635">
        <f t="shared" si="56"/>
        <v>0</v>
      </c>
      <c r="S160" s="635">
        <f t="shared" si="56"/>
        <v>0</v>
      </c>
      <c r="T160" s="635">
        <f t="shared" si="56"/>
        <v>0</v>
      </c>
      <c r="U160" s="635">
        <f t="shared" si="56"/>
        <v>0</v>
      </c>
      <c r="V160" s="636" t="e">
        <f t="shared" si="50"/>
        <v>#DIV/0!</v>
      </c>
      <c r="W160" s="637"/>
      <c r="X160" s="587" t="e">
        <f t="shared" si="48"/>
        <v>#DIV/0!</v>
      </c>
      <c r="Y160" s="587" t="e">
        <f t="shared" si="48"/>
        <v>#DIV/0!</v>
      </c>
      <c r="Z160" s="587" t="e">
        <f t="shared" si="48"/>
        <v>#DIV/0!</v>
      </c>
      <c r="AA160" s="587" t="e">
        <f t="shared" si="48"/>
        <v>#DIV/0!</v>
      </c>
    </row>
    <row r="161" spans="1:27" ht="22.5" hidden="1" customHeight="1" thickTop="1" thickBot="1" x14ac:dyDescent="0.3">
      <c r="A161" s="451">
        <v>1</v>
      </c>
      <c r="B161" s="450" t="s">
        <v>1343</v>
      </c>
      <c r="C161" s="450" t="s">
        <v>1343</v>
      </c>
      <c r="D161" s="450" t="s">
        <v>1350</v>
      </c>
      <c r="E161" s="450" t="s">
        <v>1358</v>
      </c>
      <c r="F161" s="450" t="s">
        <v>2160</v>
      </c>
      <c r="G161" s="450" t="s">
        <v>1350</v>
      </c>
      <c r="H161" s="450" t="s">
        <v>1343</v>
      </c>
      <c r="I161" s="450"/>
      <c r="J161" s="450"/>
      <c r="K161" s="647" t="s">
        <v>2177</v>
      </c>
      <c r="L161" s="641"/>
      <c r="M161" s="641"/>
      <c r="N161" s="641"/>
      <c r="O161" s="641">
        <f>+L161+M161-N161</f>
        <v>0</v>
      </c>
      <c r="P161" s="641"/>
      <c r="Q161" s="641"/>
      <c r="R161" s="641"/>
      <c r="S161" s="641"/>
      <c r="T161" s="641"/>
      <c r="U161" s="641"/>
      <c r="V161" s="648" t="e">
        <f t="shared" si="50"/>
        <v>#DIV/0!</v>
      </c>
      <c r="W161" s="644"/>
      <c r="X161" s="584" t="e">
        <f t="shared" si="48"/>
        <v>#DIV/0!</v>
      </c>
      <c r="Y161" s="584" t="e">
        <f t="shared" si="48"/>
        <v>#DIV/0!</v>
      </c>
      <c r="Z161" s="584" t="e">
        <f t="shared" si="48"/>
        <v>#DIV/0!</v>
      </c>
      <c r="AA161" s="584" t="e">
        <f t="shared" si="48"/>
        <v>#DIV/0!</v>
      </c>
    </row>
    <row r="162" spans="1:27" ht="22.5" hidden="1" customHeight="1" thickTop="1" thickBot="1" x14ac:dyDescent="0.3">
      <c r="A162" s="451">
        <v>1</v>
      </c>
      <c r="B162" s="450" t="s">
        <v>1343</v>
      </c>
      <c r="C162" s="450" t="s">
        <v>1343</v>
      </c>
      <c r="D162" s="450" t="s">
        <v>1350</v>
      </c>
      <c r="E162" s="450" t="s">
        <v>1358</v>
      </c>
      <c r="F162" s="450" t="s">
        <v>2160</v>
      </c>
      <c r="G162" s="450" t="s">
        <v>1350</v>
      </c>
      <c r="H162" s="450" t="s">
        <v>1413</v>
      </c>
      <c r="I162" s="450"/>
      <c r="J162" s="450"/>
      <c r="K162" s="647" t="s">
        <v>2178</v>
      </c>
      <c r="L162" s="641"/>
      <c r="M162" s="641"/>
      <c r="N162" s="641"/>
      <c r="O162" s="641">
        <f>+L162+M162-N162</f>
        <v>0</v>
      </c>
      <c r="P162" s="641"/>
      <c r="Q162" s="641"/>
      <c r="R162" s="641"/>
      <c r="S162" s="641"/>
      <c r="T162" s="641"/>
      <c r="U162" s="641"/>
      <c r="V162" s="648" t="e">
        <f t="shared" si="50"/>
        <v>#DIV/0!</v>
      </c>
      <c r="W162" s="644"/>
      <c r="X162" s="584" t="e">
        <f t="shared" si="48"/>
        <v>#DIV/0!</v>
      </c>
      <c r="Y162" s="584" t="e">
        <f t="shared" si="48"/>
        <v>#DIV/0!</v>
      </c>
      <c r="Z162" s="584" t="e">
        <f t="shared" si="48"/>
        <v>#DIV/0!</v>
      </c>
      <c r="AA162" s="584" t="e">
        <f t="shared" si="48"/>
        <v>#DIV/0!</v>
      </c>
    </row>
    <row r="163" spans="1:27" ht="22.5" hidden="1" customHeight="1" thickTop="1" thickBot="1" x14ac:dyDescent="0.3">
      <c r="A163" s="451">
        <v>1</v>
      </c>
      <c r="B163" s="450" t="s">
        <v>1343</v>
      </c>
      <c r="C163" s="450" t="s">
        <v>1343</v>
      </c>
      <c r="D163" s="450" t="s">
        <v>1350</v>
      </c>
      <c r="E163" s="450" t="s">
        <v>1358</v>
      </c>
      <c r="F163" s="450" t="s">
        <v>2160</v>
      </c>
      <c r="G163" s="450" t="s">
        <v>1350</v>
      </c>
      <c r="H163" s="450" t="s">
        <v>2076</v>
      </c>
      <c r="I163" s="450"/>
      <c r="J163" s="450"/>
      <c r="K163" s="647" t="s">
        <v>2179</v>
      </c>
      <c r="L163" s="641"/>
      <c r="M163" s="641"/>
      <c r="N163" s="641"/>
      <c r="O163" s="641">
        <f>+L163+M163-N163</f>
        <v>0</v>
      </c>
      <c r="P163" s="641"/>
      <c r="Q163" s="641"/>
      <c r="R163" s="641"/>
      <c r="S163" s="641"/>
      <c r="T163" s="641"/>
      <c r="U163" s="641"/>
      <c r="V163" s="648" t="e">
        <f t="shared" si="50"/>
        <v>#DIV/0!</v>
      </c>
      <c r="W163" s="644"/>
      <c r="X163" s="584" t="e">
        <f t="shared" si="48"/>
        <v>#DIV/0!</v>
      </c>
      <c r="Y163" s="584" t="e">
        <f t="shared" si="48"/>
        <v>#DIV/0!</v>
      </c>
      <c r="Z163" s="584" t="e">
        <f t="shared" si="48"/>
        <v>#DIV/0!</v>
      </c>
      <c r="AA163" s="584" t="e">
        <f t="shared" si="48"/>
        <v>#DIV/0!</v>
      </c>
    </row>
    <row r="164" spans="1:27" s="587" customFormat="1" ht="22.5" hidden="1" customHeight="1" thickTop="1" thickBot="1" x14ac:dyDescent="0.3">
      <c r="A164" s="633">
        <v>1</v>
      </c>
      <c r="B164" s="524" t="s">
        <v>1343</v>
      </c>
      <c r="C164" s="524" t="s">
        <v>1343</v>
      </c>
      <c r="D164" s="524" t="s">
        <v>1350</v>
      </c>
      <c r="E164" s="524" t="s">
        <v>1358</v>
      </c>
      <c r="F164" s="524" t="s">
        <v>2160</v>
      </c>
      <c r="G164" s="524" t="s">
        <v>1354</v>
      </c>
      <c r="H164" s="524"/>
      <c r="I164" s="524"/>
      <c r="J164" s="524"/>
      <c r="K164" s="634" t="s">
        <v>2180</v>
      </c>
      <c r="L164" s="635">
        <f>SUM(L165:L167)</f>
        <v>0</v>
      </c>
      <c r="M164" s="635">
        <f t="shared" ref="M164:U164" si="57">SUM(M165:M167)</f>
        <v>0</v>
      </c>
      <c r="N164" s="635">
        <f t="shared" si="57"/>
        <v>0</v>
      </c>
      <c r="O164" s="635">
        <f t="shared" si="57"/>
        <v>0</v>
      </c>
      <c r="P164" s="635">
        <f t="shared" si="57"/>
        <v>0</v>
      </c>
      <c r="Q164" s="635">
        <f t="shared" si="57"/>
        <v>0</v>
      </c>
      <c r="R164" s="635">
        <f t="shared" si="57"/>
        <v>0</v>
      </c>
      <c r="S164" s="635">
        <f t="shared" si="57"/>
        <v>0</v>
      </c>
      <c r="T164" s="635">
        <f t="shared" si="57"/>
        <v>0</v>
      </c>
      <c r="U164" s="635">
        <f t="shared" si="57"/>
        <v>0</v>
      </c>
      <c r="V164" s="636" t="e">
        <f t="shared" si="50"/>
        <v>#DIV/0!</v>
      </c>
      <c r="W164" s="637"/>
      <c r="X164" s="587" t="e">
        <f t="shared" si="48"/>
        <v>#DIV/0!</v>
      </c>
      <c r="Y164" s="587" t="e">
        <f t="shared" si="48"/>
        <v>#DIV/0!</v>
      </c>
      <c r="Z164" s="587" t="e">
        <f t="shared" si="48"/>
        <v>#DIV/0!</v>
      </c>
      <c r="AA164" s="587" t="e">
        <f t="shared" si="48"/>
        <v>#DIV/0!</v>
      </c>
    </row>
    <row r="165" spans="1:27" ht="22.5" hidden="1" customHeight="1" thickTop="1" thickBot="1" x14ac:dyDescent="0.3">
      <c r="A165" s="451">
        <v>1</v>
      </c>
      <c r="B165" s="450" t="s">
        <v>1343</v>
      </c>
      <c r="C165" s="450" t="s">
        <v>1343</v>
      </c>
      <c r="D165" s="450" t="s">
        <v>1350</v>
      </c>
      <c r="E165" s="450" t="s">
        <v>1358</v>
      </c>
      <c r="F165" s="450" t="s">
        <v>2160</v>
      </c>
      <c r="G165" s="450" t="s">
        <v>1354</v>
      </c>
      <c r="H165" s="450" t="s">
        <v>1343</v>
      </c>
      <c r="I165" s="450"/>
      <c r="J165" s="450"/>
      <c r="K165" s="647" t="s">
        <v>2181</v>
      </c>
      <c r="L165" s="641"/>
      <c r="M165" s="641"/>
      <c r="N165" s="641"/>
      <c r="O165" s="641">
        <f>+L165+M165-N165</f>
        <v>0</v>
      </c>
      <c r="P165" s="641"/>
      <c r="Q165" s="641"/>
      <c r="R165" s="641"/>
      <c r="S165" s="641"/>
      <c r="T165" s="641"/>
      <c r="U165" s="641"/>
      <c r="V165" s="648" t="e">
        <f t="shared" si="50"/>
        <v>#DIV/0!</v>
      </c>
      <c r="W165" s="644"/>
      <c r="X165" s="584" t="e">
        <f t="shared" si="48"/>
        <v>#DIV/0!</v>
      </c>
      <c r="Y165" s="584" t="e">
        <f t="shared" si="48"/>
        <v>#DIV/0!</v>
      </c>
      <c r="Z165" s="584" t="e">
        <f t="shared" si="48"/>
        <v>#DIV/0!</v>
      </c>
      <c r="AA165" s="584" t="e">
        <f t="shared" si="48"/>
        <v>#DIV/0!</v>
      </c>
    </row>
    <row r="166" spans="1:27" ht="22.5" hidden="1" customHeight="1" thickTop="1" thickBot="1" x14ac:dyDescent="0.3">
      <c r="A166" s="451">
        <v>1</v>
      </c>
      <c r="B166" s="450" t="s">
        <v>1343</v>
      </c>
      <c r="C166" s="450" t="s">
        <v>1343</v>
      </c>
      <c r="D166" s="450" t="s">
        <v>1350</v>
      </c>
      <c r="E166" s="450" t="s">
        <v>1358</v>
      </c>
      <c r="F166" s="450" t="s">
        <v>2160</v>
      </c>
      <c r="G166" s="450" t="s">
        <v>1354</v>
      </c>
      <c r="H166" s="450" t="s">
        <v>1413</v>
      </c>
      <c r="I166" s="450"/>
      <c r="J166" s="450"/>
      <c r="K166" s="647" t="s">
        <v>2182</v>
      </c>
      <c r="L166" s="641"/>
      <c r="M166" s="641"/>
      <c r="N166" s="641"/>
      <c r="O166" s="641">
        <f>+L166+M166-N166</f>
        <v>0</v>
      </c>
      <c r="P166" s="641"/>
      <c r="Q166" s="641"/>
      <c r="R166" s="641"/>
      <c r="S166" s="641"/>
      <c r="T166" s="641"/>
      <c r="U166" s="641"/>
      <c r="V166" s="648" t="e">
        <f t="shared" si="50"/>
        <v>#DIV/0!</v>
      </c>
      <c r="W166" s="644"/>
      <c r="X166" s="584" t="e">
        <f t="shared" si="48"/>
        <v>#DIV/0!</v>
      </c>
      <c r="Y166" s="584" t="e">
        <f t="shared" si="48"/>
        <v>#DIV/0!</v>
      </c>
      <c r="Z166" s="584" t="e">
        <f t="shared" si="48"/>
        <v>#DIV/0!</v>
      </c>
      <c r="AA166" s="584" t="e">
        <f t="shared" si="48"/>
        <v>#DIV/0!</v>
      </c>
    </row>
    <row r="167" spans="1:27" ht="22.5" hidden="1" customHeight="1" thickTop="1" thickBot="1" x14ac:dyDescent="0.3">
      <c r="A167" s="451">
        <v>1</v>
      </c>
      <c r="B167" s="450" t="s">
        <v>1343</v>
      </c>
      <c r="C167" s="450" t="s">
        <v>1343</v>
      </c>
      <c r="D167" s="450" t="s">
        <v>1350</v>
      </c>
      <c r="E167" s="450" t="s">
        <v>1358</v>
      </c>
      <c r="F167" s="450" t="s">
        <v>2160</v>
      </c>
      <c r="G167" s="450" t="s">
        <v>1354</v>
      </c>
      <c r="H167" s="450" t="s">
        <v>2076</v>
      </c>
      <c r="I167" s="450"/>
      <c r="J167" s="450"/>
      <c r="K167" s="647" t="s">
        <v>2183</v>
      </c>
      <c r="L167" s="641"/>
      <c r="M167" s="641"/>
      <c r="N167" s="641"/>
      <c r="O167" s="641">
        <f>+L167+M167-N167</f>
        <v>0</v>
      </c>
      <c r="P167" s="641"/>
      <c r="Q167" s="641"/>
      <c r="R167" s="641"/>
      <c r="S167" s="641"/>
      <c r="T167" s="641"/>
      <c r="U167" s="641"/>
      <c r="V167" s="648" t="e">
        <f t="shared" si="50"/>
        <v>#DIV/0!</v>
      </c>
      <c r="W167" s="644"/>
      <c r="X167" s="584" t="e">
        <f t="shared" si="48"/>
        <v>#DIV/0!</v>
      </c>
      <c r="Y167" s="584" t="e">
        <f t="shared" si="48"/>
        <v>#DIV/0!</v>
      </c>
      <c r="Z167" s="584" t="e">
        <f t="shared" si="48"/>
        <v>#DIV/0!</v>
      </c>
      <c r="AA167" s="584" t="e">
        <f t="shared" si="48"/>
        <v>#DIV/0!</v>
      </c>
    </row>
    <row r="168" spans="1:27" s="587" customFormat="1" ht="22.5" hidden="1" customHeight="1" thickTop="1" thickBot="1" x14ac:dyDescent="0.3">
      <c r="A168" s="633">
        <v>1</v>
      </c>
      <c r="B168" s="524" t="s">
        <v>1343</v>
      </c>
      <c r="C168" s="524" t="s">
        <v>1343</v>
      </c>
      <c r="D168" s="524" t="s">
        <v>1350</v>
      </c>
      <c r="E168" s="524" t="s">
        <v>1358</v>
      </c>
      <c r="F168" s="524" t="s">
        <v>2160</v>
      </c>
      <c r="G168" s="524" t="s">
        <v>1355</v>
      </c>
      <c r="H168" s="524"/>
      <c r="I168" s="524"/>
      <c r="J168" s="524"/>
      <c r="K168" s="634" t="s">
        <v>1366</v>
      </c>
      <c r="L168" s="635">
        <f>SUM(L169:L171)</f>
        <v>0</v>
      </c>
      <c r="M168" s="635">
        <f t="shared" ref="M168:U168" si="58">SUM(M169:M171)</f>
        <v>0</v>
      </c>
      <c r="N168" s="635">
        <f t="shared" si="58"/>
        <v>0</v>
      </c>
      <c r="O168" s="635">
        <f t="shared" si="58"/>
        <v>0</v>
      </c>
      <c r="P168" s="635">
        <f t="shared" si="58"/>
        <v>0</v>
      </c>
      <c r="Q168" s="635">
        <f t="shared" si="58"/>
        <v>0</v>
      </c>
      <c r="R168" s="635">
        <f t="shared" si="58"/>
        <v>0</v>
      </c>
      <c r="S168" s="635">
        <f t="shared" si="58"/>
        <v>0</v>
      </c>
      <c r="T168" s="635">
        <f t="shared" si="58"/>
        <v>0</v>
      </c>
      <c r="U168" s="635">
        <f t="shared" si="58"/>
        <v>0</v>
      </c>
      <c r="V168" s="636" t="e">
        <f t="shared" si="50"/>
        <v>#DIV/0!</v>
      </c>
      <c r="W168" s="637"/>
      <c r="X168" s="587" t="e">
        <f t="shared" si="48"/>
        <v>#DIV/0!</v>
      </c>
      <c r="Y168" s="587" t="e">
        <f t="shared" si="48"/>
        <v>#DIV/0!</v>
      </c>
      <c r="Z168" s="587" t="e">
        <f t="shared" si="48"/>
        <v>#DIV/0!</v>
      </c>
      <c r="AA168" s="587" t="e">
        <f t="shared" si="48"/>
        <v>#DIV/0!</v>
      </c>
    </row>
    <row r="169" spans="1:27" ht="22.5" hidden="1" customHeight="1" thickTop="1" thickBot="1" x14ac:dyDescent="0.3">
      <c r="A169" s="451">
        <v>1</v>
      </c>
      <c r="B169" s="450" t="s">
        <v>1343</v>
      </c>
      <c r="C169" s="450" t="s">
        <v>1343</v>
      </c>
      <c r="D169" s="450" t="s">
        <v>1350</v>
      </c>
      <c r="E169" s="450" t="s">
        <v>1358</v>
      </c>
      <c r="F169" s="450" t="s">
        <v>2160</v>
      </c>
      <c r="G169" s="450" t="s">
        <v>1355</v>
      </c>
      <c r="H169" s="450" t="s">
        <v>1343</v>
      </c>
      <c r="I169" s="450"/>
      <c r="J169" s="450"/>
      <c r="K169" s="647" t="s">
        <v>2184</v>
      </c>
      <c r="L169" s="641"/>
      <c r="M169" s="641"/>
      <c r="N169" s="641"/>
      <c r="O169" s="641">
        <f>+L169+M169-N169</f>
        <v>0</v>
      </c>
      <c r="P169" s="641"/>
      <c r="Q169" s="641"/>
      <c r="R169" s="641"/>
      <c r="S169" s="641"/>
      <c r="T169" s="641"/>
      <c r="U169" s="641"/>
      <c r="V169" s="648" t="e">
        <f t="shared" si="50"/>
        <v>#DIV/0!</v>
      </c>
      <c r="W169" s="644"/>
      <c r="X169" s="584" t="e">
        <f t="shared" si="48"/>
        <v>#DIV/0!</v>
      </c>
      <c r="Y169" s="584" t="e">
        <f t="shared" si="48"/>
        <v>#DIV/0!</v>
      </c>
      <c r="Z169" s="584" t="e">
        <f t="shared" si="48"/>
        <v>#DIV/0!</v>
      </c>
      <c r="AA169" s="584" t="e">
        <f t="shared" si="48"/>
        <v>#DIV/0!</v>
      </c>
    </row>
    <row r="170" spans="1:27" ht="22.5" hidden="1" customHeight="1" thickTop="1" thickBot="1" x14ac:dyDescent="0.3">
      <c r="A170" s="451">
        <v>1</v>
      </c>
      <c r="B170" s="450" t="s">
        <v>1343</v>
      </c>
      <c r="C170" s="450" t="s">
        <v>1343</v>
      </c>
      <c r="D170" s="450" t="s">
        <v>1350</v>
      </c>
      <c r="E170" s="450" t="s">
        <v>1358</v>
      </c>
      <c r="F170" s="450" t="s">
        <v>2160</v>
      </c>
      <c r="G170" s="450" t="s">
        <v>1355</v>
      </c>
      <c r="H170" s="450" t="s">
        <v>1413</v>
      </c>
      <c r="I170" s="450"/>
      <c r="J170" s="450"/>
      <c r="K170" s="647" t="s">
        <v>2185</v>
      </c>
      <c r="L170" s="641"/>
      <c r="M170" s="641"/>
      <c r="N170" s="641"/>
      <c r="O170" s="641">
        <f>+L170+M170-N170</f>
        <v>0</v>
      </c>
      <c r="P170" s="641"/>
      <c r="Q170" s="641"/>
      <c r="R170" s="641"/>
      <c r="S170" s="641"/>
      <c r="T170" s="641"/>
      <c r="U170" s="641"/>
      <c r="V170" s="648" t="e">
        <f t="shared" si="50"/>
        <v>#DIV/0!</v>
      </c>
      <c r="W170" s="644"/>
      <c r="X170" s="584" t="e">
        <f t="shared" si="48"/>
        <v>#DIV/0!</v>
      </c>
      <c r="Y170" s="584" t="e">
        <f t="shared" si="48"/>
        <v>#DIV/0!</v>
      </c>
      <c r="Z170" s="584" t="e">
        <f t="shared" si="48"/>
        <v>#DIV/0!</v>
      </c>
      <c r="AA170" s="584" t="e">
        <f t="shared" si="48"/>
        <v>#DIV/0!</v>
      </c>
    </row>
    <row r="171" spans="1:27" ht="22.5" hidden="1" customHeight="1" thickTop="1" thickBot="1" x14ac:dyDescent="0.3">
      <c r="A171" s="451">
        <v>1</v>
      </c>
      <c r="B171" s="450" t="s">
        <v>1343</v>
      </c>
      <c r="C171" s="450" t="s">
        <v>1343</v>
      </c>
      <c r="D171" s="450" t="s">
        <v>1350</v>
      </c>
      <c r="E171" s="450" t="s">
        <v>1358</v>
      </c>
      <c r="F171" s="450" t="s">
        <v>2160</v>
      </c>
      <c r="G171" s="450" t="s">
        <v>1355</v>
      </c>
      <c r="H171" s="450" t="s">
        <v>2076</v>
      </c>
      <c r="I171" s="450"/>
      <c r="J171" s="450"/>
      <c r="K171" s="647" t="s">
        <v>2186</v>
      </c>
      <c r="L171" s="641"/>
      <c r="M171" s="641"/>
      <c r="N171" s="641"/>
      <c r="O171" s="641">
        <f>+L171+M171-N171</f>
        <v>0</v>
      </c>
      <c r="P171" s="641"/>
      <c r="Q171" s="641"/>
      <c r="R171" s="641"/>
      <c r="S171" s="641"/>
      <c r="T171" s="641"/>
      <c r="U171" s="641"/>
      <c r="V171" s="648" t="e">
        <f t="shared" si="50"/>
        <v>#DIV/0!</v>
      </c>
      <c r="W171" s="644"/>
      <c r="X171" s="584" t="e">
        <f t="shared" si="48"/>
        <v>#DIV/0!</v>
      </c>
      <c r="Y171" s="584" t="e">
        <f t="shared" si="48"/>
        <v>#DIV/0!</v>
      </c>
      <c r="Z171" s="584" t="e">
        <f t="shared" si="48"/>
        <v>#DIV/0!</v>
      </c>
      <c r="AA171" s="584" t="e">
        <f t="shared" si="48"/>
        <v>#DIV/0!</v>
      </c>
    </row>
    <row r="172" spans="1:27" s="587" customFormat="1" ht="22.5" hidden="1" customHeight="1" thickTop="1" thickBot="1" x14ac:dyDescent="0.3">
      <c r="A172" s="633">
        <v>1</v>
      </c>
      <c r="B172" s="524" t="s">
        <v>1343</v>
      </c>
      <c r="C172" s="524" t="s">
        <v>1343</v>
      </c>
      <c r="D172" s="524" t="s">
        <v>1350</v>
      </c>
      <c r="E172" s="524" t="s">
        <v>1358</v>
      </c>
      <c r="F172" s="524" t="s">
        <v>2160</v>
      </c>
      <c r="G172" s="524" t="s">
        <v>1358</v>
      </c>
      <c r="H172" s="524"/>
      <c r="I172" s="524"/>
      <c r="J172" s="524"/>
      <c r="K172" s="634" t="s">
        <v>2187</v>
      </c>
      <c r="L172" s="635">
        <f>SUM(L173:L175)</f>
        <v>0</v>
      </c>
      <c r="M172" s="635">
        <f t="shared" ref="M172:U172" si="59">SUM(M173:M175)</f>
        <v>0</v>
      </c>
      <c r="N172" s="635">
        <f t="shared" si="59"/>
        <v>0</v>
      </c>
      <c r="O172" s="635">
        <f t="shared" si="59"/>
        <v>0</v>
      </c>
      <c r="P172" s="635">
        <f t="shared" si="59"/>
        <v>0</v>
      </c>
      <c r="Q172" s="635">
        <f t="shared" si="59"/>
        <v>0</v>
      </c>
      <c r="R172" s="635">
        <f t="shared" si="59"/>
        <v>0</v>
      </c>
      <c r="S172" s="635">
        <f t="shared" si="59"/>
        <v>0</v>
      </c>
      <c r="T172" s="635">
        <f t="shared" si="59"/>
        <v>0</v>
      </c>
      <c r="U172" s="635">
        <f t="shared" si="59"/>
        <v>0</v>
      </c>
      <c r="V172" s="636" t="e">
        <f t="shared" si="50"/>
        <v>#DIV/0!</v>
      </c>
      <c r="W172" s="637"/>
      <c r="X172" s="587" t="e">
        <f t="shared" si="48"/>
        <v>#DIV/0!</v>
      </c>
      <c r="Y172" s="587" t="e">
        <f t="shared" si="48"/>
        <v>#DIV/0!</v>
      </c>
      <c r="Z172" s="587" t="e">
        <f t="shared" si="48"/>
        <v>#DIV/0!</v>
      </c>
      <c r="AA172" s="587" t="e">
        <f t="shared" si="48"/>
        <v>#DIV/0!</v>
      </c>
    </row>
    <row r="173" spans="1:27" ht="22.5" hidden="1" customHeight="1" thickTop="1" thickBot="1" x14ac:dyDescent="0.3">
      <c r="A173" s="451">
        <v>1</v>
      </c>
      <c r="B173" s="450" t="s">
        <v>1343</v>
      </c>
      <c r="C173" s="450" t="s">
        <v>1343</v>
      </c>
      <c r="D173" s="450" t="s">
        <v>1350</v>
      </c>
      <c r="E173" s="450" t="s">
        <v>1358</v>
      </c>
      <c r="F173" s="450" t="s">
        <v>2160</v>
      </c>
      <c r="G173" s="450" t="s">
        <v>1358</v>
      </c>
      <c r="H173" s="450" t="s">
        <v>1343</v>
      </c>
      <c r="I173" s="450"/>
      <c r="J173" s="450"/>
      <c r="K173" s="647" t="s">
        <v>2188</v>
      </c>
      <c r="L173" s="641"/>
      <c r="M173" s="641"/>
      <c r="N173" s="641"/>
      <c r="O173" s="641">
        <f>+L173+M173-N173</f>
        <v>0</v>
      </c>
      <c r="P173" s="641"/>
      <c r="Q173" s="641"/>
      <c r="R173" s="641"/>
      <c r="S173" s="641"/>
      <c r="T173" s="641"/>
      <c r="U173" s="641"/>
      <c r="V173" s="648" t="e">
        <f t="shared" si="50"/>
        <v>#DIV/0!</v>
      </c>
      <c r="W173" s="644"/>
      <c r="X173" s="584" t="e">
        <f t="shared" si="48"/>
        <v>#DIV/0!</v>
      </c>
      <c r="Y173" s="584" t="e">
        <f t="shared" si="48"/>
        <v>#DIV/0!</v>
      </c>
      <c r="Z173" s="584" t="e">
        <f t="shared" si="48"/>
        <v>#DIV/0!</v>
      </c>
      <c r="AA173" s="584" t="e">
        <f t="shared" si="48"/>
        <v>#DIV/0!</v>
      </c>
    </row>
    <row r="174" spans="1:27" ht="22.5" hidden="1" customHeight="1" thickTop="1" thickBot="1" x14ac:dyDescent="0.3">
      <c r="A174" s="451">
        <v>1</v>
      </c>
      <c r="B174" s="450" t="s">
        <v>1343</v>
      </c>
      <c r="C174" s="450" t="s">
        <v>1343</v>
      </c>
      <c r="D174" s="450" t="s">
        <v>1350</v>
      </c>
      <c r="E174" s="450" t="s">
        <v>1358</v>
      </c>
      <c r="F174" s="450" t="s">
        <v>2160</v>
      </c>
      <c r="G174" s="450" t="s">
        <v>1358</v>
      </c>
      <c r="H174" s="450" t="s">
        <v>1413</v>
      </c>
      <c r="I174" s="450"/>
      <c r="J174" s="450"/>
      <c r="K174" s="647" t="s">
        <v>2189</v>
      </c>
      <c r="L174" s="641"/>
      <c r="M174" s="641"/>
      <c r="N174" s="641"/>
      <c r="O174" s="641">
        <f>+L174+M174-N174</f>
        <v>0</v>
      </c>
      <c r="P174" s="641"/>
      <c r="Q174" s="641"/>
      <c r="R174" s="641"/>
      <c r="S174" s="641"/>
      <c r="T174" s="641"/>
      <c r="U174" s="641"/>
      <c r="V174" s="648" t="e">
        <f t="shared" si="50"/>
        <v>#DIV/0!</v>
      </c>
      <c r="W174" s="644"/>
      <c r="X174" s="584" t="e">
        <f t="shared" si="48"/>
        <v>#DIV/0!</v>
      </c>
      <c r="Y174" s="584" t="e">
        <f t="shared" si="48"/>
        <v>#DIV/0!</v>
      </c>
      <c r="Z174" s="584" t="e">
        <f t="shared" si="48"/>
        <v>#DIV/0!</v>
      </c>
      <c r="AA174" s="584" t="e">
        <f t="shared" si="48"/>
        <v>#DIV/0!</v>
      </c>
    </row>
    <row r="175" spans="1:27" ht="22.5" hidden="1" customHeight="1" thickTop="1" thickBot="1" x14ac:dyDescent="0.3">
      <c r="A175" s="451">
        <v>1</v>
      </c>
      <c r="B175" s="450" t="s">
        <v>1343</v>
      </c>
      <c r="C175" s="450" t="s">
        <v>1343</v>
      </c>
      <c r="D175" s="450" t="s">
        <v>1350</v>
      </c>
      <c r="E175" s="450" t="s">
        <v>1358</v>
      </c>
      <c r="F175" s="450" t="s">
        <v>2160</v>
      </c>
      <c r="G175" s="450" t="s">
        <v>1358</v>
      </c>
      <c r="H175" s="450" t="s">
        <v>2076</v>
      </c>
      <c r="I175" s="450"/>
      <c r="J175" s="450"/>
      <c r="K175" s="647" t="s">
        <v>2190</v>
      </c>
      <c r="L175" s="641"/>
      <c r="M175" s="641"/>
      <c r="N175" s="641"/>
      <c r="O175" s="641">
        <f>+L175+M175-N175</f>
        <v>0</v>
      </c>
      <c r="P175" s="641"/>
      <c r="Q175" s="641"/>
      <c r="R175" s="641"/>
      <c r="S175" s="641"/>
      <c r="T175" s="641"/>
      <c r="U175" s="641"/>
      <c r="V175" s="648" t="e">
        <f t="shared" si="50"/>
        <v>#DIV/0!</v>
      </c>
      <c r="W175" s="644"/>
      <c r="X175" s="584" t="e">
        <f t="shared" si="48"/>
        <v>#DIV/0!</v>
      </c>
      <c r="Y175" s="584" t="e">
        <f t="shared" si="48"/>
        <v>#DIV/0!</v>
      </c>
      <c r="Z175" s="584" t="e">
        <f t="shared" si="48"/>
        <v>#DIV/0!</v>
      </c>
      <c r="AA175" s="584" t="e">
        <f t="shared" si="48"/>
        <v>#DIV/0!</v>
      </c>
    </row>
    <row r="176" spans="1:27" s="587" customFormat="1" ht="22.5" hidden="1" customHeight="1" thickTop="1" thickBot="1" x14ac:dyDescent="0.3">
      <c r="A176" s="633">
        <v>1</v>
      </c>
      <c r="B176" s="524" t="s">
        <v>1343</v>
      </c>
      <c r="C176" s="524" t="s">
        <v>1343</v>
      </c>
      <c r="D176" s="524" t="s">
        <v>1350</v>
      </c>
      <c r="E176" s="524" t="s">
        <v>1358</v>
      </c>
      <c r="F176" s="524" t="s">
        <v>2160</v>
      </c>
      <c r="G176" s="524" t="s">
        <v>1359</v>
      </c>
      <c r="H176" s="524"/>
      <c r="I176" s="524"/>
      <c r="J176" s="524"/>
      <c r="K176" s="634" t="s">
        <v>1867</v>
      </c>
      <c r="L176" s="635">
        <f>SUM(L177:L179)</f>
        <v>0</v>
      </c>
      <c r="M176" s="635">
        <f t="shared" ref="M176:U176" si="60">SUM(M177:M179)</f>
        <v>0</v>
      </c>
      <c r="N176" s="635">
        <f t="shared" si="60"/>
        <v>0</v>
      </c>
      <c r="O176" s="635">
        <f t="shared" si="60"/>
        <v>0</v>
      </c>
      <c r="P176" s="635">
        <f t="shared" si="60"/>
        <v>0</v>
      </c>
      <c r="Q176" s="635">
        <f t="shared" si="60"/>
        <v>0</v>
      </c>
      <c r="R176" s="635">
        <f t="shared" si="60"/>
        <v>0</v>
      </c>
      <c r="S176" s="635">
        <f t="shared" si="60"/>
        <v>0</v>
      </c>
      <c r="T176" s="635">
        <f t="shared" si="60"/>
        <v>0</v>
      </c>
      <c r="U176" s="635">
        <f t="shared" si="60"/>
        <v>0</v>
      </c>
      <c r="V176" s="636" t="e">
        <f t="shared" si="50"/>
        <v>#DIV/0!</v>
      </c>
      <c r="W176" s="637"/>
      <c r="X176" s="587" t="e">
        <f t="shared" si="48"/>
        <v>#DIV/0!</v>
      </c>
      <c r="Y176" s="587" t="e">
        <f t="shared" si="48"/>
        <v>#DIV/0!</v>
      </c>
      <c r="Z176" s="587" t="e">
        <f t="shared" si="48"/>
        <v>#DIV/0!</v>
      </c>
      <c r="AA176" s="587" t="e">
        <f t="shared" si="48"/>
        <v>#DIV/0!</v>
      </c>
    </row>
    <row r="177" spans="1:27" ht="22.5" hidden="1" customHeight="1" thickTop="1" thickBot="1" x14ac:dyDescent="0.3">
      <c r="A177" s="451">
        <v>1</v>
      </c>
      <c r="B177" s="450" t="s">
        <v>1343</v>
      </c>
      <c r="C177" s="450" t="s">
        <v>1343</v>
      </c>
      <c r="D177" s="450" t="s">
        <v>1350</v>
      </c>
      <c r="E177" s="450" t="s">
        <v>1358</v>
      </c>
      <c r="F177" s="450" t="s">
        <v>2160</v>
      </c>
      <c r="G177" s="450" t="s">
        <v>1359</v>
      </c>
      <c r="H177" s="450" t="s">
        <v>1343</v>
      </c>
      <c r="I177" s="450"/>
      <c r="J177" s="450"/>
      <c r="K177" s="647" t="s">
        <v>2211</v>
      </c>
      <c r="L177" s="641"/>
      <c r="M177" s="641"/>
      <c r="N177" s="641"/>
      <c r="O177" s="641">
        <f>+L177+M177-N177</f>
        <v>0</v>
      </c>
      <c r="P177" s="641"/>
      <c r="Q177" s="641"/>
      <c r="R177" s="641"/>
      <c r="S177" s="641"/>
      <c r="T177" s="641"/>
      <c r="U177" s="641"/>
      <c r="V177" s="648" t="e">
        <f t="shared" si="50"/>
        <v>#DIV/0!</v>
      </c>
      <c r="W177" s="644"/>
      <c r="X177" s="584" t="e">
        <f t="shared" si="48"/>
        <v>#DIV/0!</v>
      </c>
      <c r="Y177" s="584" t="e">
        <f t="shared" si="48"/>
        <v>#DIV/0!</v>
      </c>
      <c r="Z177" s="584" t="e">
        <f t="shared" si="48"/>
        <v>#DIV/0!</v>
      </c>
      <c r="AA177" s="584" t="e">
        <f t="shared" si="48"/>
        <v>#DIV/0!</v>
      </c>
    </row>
    <row r="178" spans="1:27" ht="22.5" hidden="1" customHeight="1" thickTop="1" thickBot="1" x14ac:dyDescent="0.3">
      <c r="A178" s="451">
        <v>1</v>
      </c>
      <c r="B178" s="450" t="s">
        <v>1343</v>
      </c>
      <c r="C178" s="450" t="s">
        <v>1343</v>
      </c>
      <c r="D178" s="450" t="s">
        <v>1350</v>
      </c>
      <c r="E178" s="450" t="s">
        <v>1358</v>
      </c>
      <c r="F178" s="450" t="s">
        <v>2160</v>
      </c>
      <c r="G178" s="450" t="s">
        <v>1359</v>
      </c>
      <c r="H178" s="450" t="s">
        <v>1413</v>
      </c>
      <c r="I178" s="450"/>
      <c r="J178" s="450"/>
      <c r="K178" s="647" t="s">
        <v>2192</v>
      </c>
      <c r="L178" s="641"/>
      <c r="M178" s="641"/>
      <c r="N178" s="641"/>
      <c r="O178" s="641">
        <f>+L178+M178-N178</f>
        <v>0</v>
      </c>
      <c r="P178" s="641"/>
      <c r="Q178" s="641"/>
      <c r="R178" s="641"/>
      <c r="S178" s="641"/>
      <c r="T178" s="641"/>
      <c r="U178" s="641"/>
      <c r="V178" s="648" t="e">
        <f t="shared" si="50"/>
        <v>#DIV/0!</v>
      </c>
      <c r="W178" s="644"/>
      <c r="X178" s="584" t="e">
        <f t="shared" si="48"/>
        <v>#DIV/0!</v>
      </c>
      <c r="Y178" s="584" t="e">
        <f t="shared" si="48"/>
        <v>#DIV/0!</v>
      </c>
      <c r="Z178" s="584" t="e">
        <f t="shared" si="48"/>
        <v>#DIV/0!</v>
      </c>
      <c r="AA178" s="584" t="e">
        <f t="shared" si="48"/>
        <v>#DIV/0!</v>
      </c>
    </row>
    <row r="179" spans="1:27" ht="22.5" hidden="1" customHeight="1" thickTop="1" thickBot="1" x14ac:dyDescent="0.3">
      <c r="A179" s="451">
        <v>1</v>
      </c>
      <c r="B179" s="450" t="s">
        <v>1343</v>
      </c>
      <c r="C179" s="450" t="s">
        <v>1343</v>
      </c>
      <c r="D179" s="450" t="s">
        <v>1350</v>
      </c>
      <c r="E179" s="450" t="s">
        <v>1358</v>
      </c>
      <c r="F179" s="450" t="s">
        <v>2160</v>
      </c>
      <c r="G179" s="450" t="s">
        <v>1359</v>
      </c>
      <c r="H179" s="450" t="s">
        <v>2076</v>
      </c>
      <c r="I179" s="450"/>
      <c r="J179" s="450"/>
      <c r="K179" s="647" t="s">
        <v>2193</v>
      </c>
      <c r="L179" s="641"/>
      <c r="M179" s="641"/>
      <c r="N179" s="641"/>
      <c r="O179" s="641">
        <f>+L179+M179-N179</f>
        <v>0</v>
      </c>
      <c r="P179" s="641"/>
      <c r="Q179" s="641"/>
      <c r="R179" s="641"/>
      <c r="S179" s="641"/>
      <c r="T179" s="641"/>
      <c r="U179" s="641"/>
      <c r="V179" s="648" t="e">
        <f t="shared" si="50"/>
        <v>#DIV/0!</v>
      </c>
      <c r="W179" s="644"/>
      <c r="X179" s="584" t="e">
        <f t="shared" si="48"/>
        <v>#DIV/0!</v>
      </c>
      <c r="Y179" s="584" t="e">
        <f t="shared" si="48"/>
        <v>#DIV/0!</v>
      </c>
      <c r="Z179" s="584" t="e">
        <f t="shared" si="48"/>
        <v>#DIV/0!</v>
      </c>
      <c r="AA179" s="584" t="e">
        <f t="shared" si="48"/>
        <v>#DIV/0!</v>
      </c>
    </row>
    <row r="180" spans="1:27" s="587" customFormat="1" ht="22.5" hidden="1" customHeight="1" thickTop="1" thickBot="1" x14ac:dyDescent="0.3">
      <c r="A180" s="633">
        <v>1</v>
      </c>
      <c r="B180" s="524" t="s">
        <v>1343</v>
      </c>
      <c r="C180" s="524" t="s">
        <v>1343</v>
      </c>
      <c r="D180" s="524" t="s">
        <v>1350</v>
      </c>
      <c r="E180" s="524" t="s">
        <v>1358</v>
      </c>
      <c r="F180" s="524" t="s">
        <v>2160</v>
      </c>
      <c r="G180" s="524" t="s">
        <v>1360</v>
      </c>
      <c r="H180" s="524"/>
      <c r="I180" s="524"/>
      <c r="J180" s="524"/>
      <c r="K180" s="634" t="s">
        <v>1868</v>
      </c>
      <c r="L180" s="635">
        <f>SUM(L181:L183)</f>
        <v>0</v>
      </c>
      <c r="M180" s="635">
        <f t="shared" ref="M180:U180" si="61">SUM(M181:M183)</f>
        <v>0</v>
      </c>
      <c r="N180" s="635">
        <f t="shared" si="61"/>
        <v>0</v>
      </c>
      <c r="O180" s="635">
        <f t="shared" si="61"/>
        <v>0</v>
      </c>
      <c r="P180" s="635">
        <f t="shared" si="61"/>
        <v>0</v>
      </c>
      <c r="Q180" s="635">
        <f t="shared" si="61"/>
        <v>0</v>
      </c>
      <c r="R180" s="635">
        <f t="shared" si="61"/>
        <v>0</v>
      </c>
      <c r="S180" s="635">
        <f t="shared" si="61"/>
        <v>0</v>
      </c>
      <c r="T180" s="635">
        <f t="shared" si="61"/>
        <v>0</v>
      </c>
      <c r="U180" s="635">
        <f t="shared" si="61"/>
        <v>0</v>
      </c>
      <c r="V180" s="636" t="e">
        <f t="shared" si="50"/>
        <v>#DIV/0!</v>
      </c>
      <c r="W180" s="637"/>
      <c r="X180" s="587" t="e">
        <f t="shared" si="48"/>
        <v>#DIV/0!</v>
      </c>
      <c r="Y180" s="587" t="e">
        <f t="shared" si="48"/>
        <v>#DIV/0!</v>
      </c>
      <c r="Z180" s="587" t="e">
        <f t="shared" si="48"/>
        <v>#DIV/0!</v>
      </c>
      <c r="AA180" s="587" t="e">
        <f t="shared" si="48"/>
        <v>#DIV/0!</v>
      </c>
    </row>
    <row r="181" spans="1:27" ht="22.5" hidden="1" customHeight="1" thickTop="1" thickBot="1" x14ac:dyDescent="0.3">
      <c r="A181" s="451">
        <v>1</v>
      </c>
      <c r="B181" s="450" t="s">
        <v>1343</v>
      </c>
      <c r="C181" s="450" t="s">
        <v>1343</v>
      </c>
      <c r="D181" s="450" t="s">
        <v>1350</v>
      </c>
      <c r="E181" s="450" t="s">
        <v>1358</v>
      </c>
      <c r="F181" s="450" t="s">
        <v>2160</v>
      </c>
      <c r="G181" s="450" t="s">
        <v>1360</v>
      </c>
      <c r="H181" s="450" t="s">
        <v>1343</v>
      </c>
      <c r="I181" s="450"/>
      <c r="J181" s="450"/>
      <c r="K181" s="647" t="s">
        <v>2195</v>
      </c>
      <c r="L181" s="641"/>
      <c r="M181" s="641"/>
      <c r="N181" s="641"/>
      <c r="O181" s="641">
        <f>+L181+M181-N181</f>
        <v>0</v>
      </c>
      <c r="P181" s="641"/>
      <c r="Q181" s="641"/>
      <c r="R181" s="641"/>
      <c r="S181" s="641"/>
      <c r="T181" s="641"/>
      <c r="U181" s="641"/>
      <c r="V181" s="648" t="e">
        <f t="shared" si="50"/>
        <v>#DIV/0!</v>
      </c>
      <c r="W181" s="644"/>
      <c r="X181" s="584" t="e">
        <f t="shared" si="48"/>
        <v>#DIV/0!</v>
      </c>
      <c r="Y181" s="584" t="e">
        <f t="shared" si="48"/>
        <v>#DIV/0!</v>
      </c>
      <c r="Z181" s="584" t="e">
        <f t="shared" si="48"/>
        <v>#DIV/0!</v>
      </c>
      <c r="AA181" s="584" t="e">
        <f t="shared" si="48"/>
        <v>#DIV/0!</v>
      </c>
    </row>
    <row r="182" spans="1:27" ht="22.5" hidden="1" customHeight="1" thickTop="1" thickBot="1" x14ac:dyDescent="0.3">
      <c r="A182" s="451">
        <v>1</v>
      </c>
      <c r="B182" s="450" t="s">
        <v>1343</v>
      </c>
      <c r="C182" s="450" t="s">
        <v>1343</v>
      </c>
      <c r="D182" s="450" t="s">
        <v>1350</v>
      </c>
      <c r="E182" s="450" t="s">
        <v>1358</v>
      </c>
      <c r="F182" s="450" t="s">
        <v>2160</v>
      </c>
      <c r="G182" s="450" t="s">
        <v>1360</v>
      </c>
      <c r="H182" s="450" t="s">
        <v>1413</v>
      </c>
      <c r="I182" s="450"/>
      <c r="J182" s="450"/>
      <c r="K182" s="647" t="s">
        <v>2194</v>
      </c>
      <c r="L182" s="641"/>
      <c r="M182" s="641"/>
      <c r="N182" s="641"/>
      <c r="O182" s="641">
        <f>+L182+M182-N182</f>
        <v>0</v>
      </c>
      <c r="P182" s="641"/>
      <c r="Q182" s="641"/>
      <c r="R182" s="641"/>
      <c r="S182" s="641"/>
      <c r="T182" s="641"/>
      <c r="U182" s="641"/>
      <c r="V182" s="648" t="e">
        <f t="shared" si="50"/>
        <v>#DIV/0!</v>
      </c>
      <c r="W182" s="644"/>
      <c r="X182" s="584" t="e">
        <f t="shared" si="48"/>
        <v>#DIV/0!</v>
      </c>
      <c r="Y182" s="584" t="e">
        <f t="shared" si="48"/>
        <v>#DIV/0!</v>
      </c>
      <c r="Z182" s="584" t="e">
        <f t="shared" si="48"/>
        <v>#DIV/0!</v>
      </c>
      <c r="AA182" s="584" t="e">
        <f t="shared" si="48"/>
        <v>#DIV/0!</v>
      </c>
    </row>
    <row r="183" spans="1:27" ht="22.5" hidden="1" customHeight="1" thickTop="1" thickBot="1" x14ac:dyDescent="0.3">
      <c r="A183" s="451">
        <v>1</v>
      </c>
      <c r="B183" s="450" t="s">
        <v>1343</v>
      </c>
      <c r="C183" s="450" t="s">
        <v>1343</v>
      </c>
      <c r="D183" s="450" t="s">
        <v>1350</v>
      </c>
      <c r="E183" s="450" t="s">
        <v>1358</v>
      </c>
      <c r="F183" s="450" t="s">
        <v>2160</v>
      </c>
      <c r="G183" s="450" t="s">
        <v>1360</v>
      </c>
      <c r="H183" s="450" t="s">
        <v>2076</v>
      </c>
      <c r="I183" s="450"/>
      <c r="J183" s="450"/>
      <c r="K183" s="647" t="s">
        <v>2196</v>
      </c>
      <c r="L183" s="641"/>
      <c r="M183" s="641"/>
      <c r="N183" s="641"/>
      <c r="O183" s="641">
        <f>+L183+M183-N183</f>
        <v>0</v>
      </c>
      <c r="P183" s="641"/>
      <c r="Q183" s="641"/>
      <c r="R183" s="641"/>
      <c r="S183" s="641"/>
      <c r="T183" s="641"/>
      <c r="U183" s="641"/>
      <c r="V183" s="648" t="e">
        <f t="shared" si="50"/>
        <v>#DIV/0!</v>
      </c>
      <c r="W183" s="644"/>
      <c r="X183" s="584" t="e">
        <f t="shared" si="48"/>
        <v>#DIV/0!</v>
      </c>
      <c r="Y183" s="584" t="e">
        <f t="shared" si="48"/>
        <v>#DIV/0!</v>
      </c>
      <c r="Z183" s="584" t="e">
        <f t="shared" si="48"/>
        <v>#DIV/0!</v>
      </c>
      <c r="AA183" s="584" t="e">
        <f t="shared" si="48"/>
        <v>#DIV/0!</v>
      </c>
    </row>
    <row r="184" spans="1:27" s="587" customFormat="1" ht="22.5" hidden="1" customHeight="1" thickTop="1" thickBot="1" x14ac:dyDescent="0.3">
      <c r="A184" s="633">
        <v>1</v>
      </c>
      <c r="B184" s="524" t="s">
        <v>1343</v>
      </c>
      <c r="C184" s="524" t="s">
        <v>1343</v>
      </c>
      <c r="D184" s="524" t="s">
        <v>1350</v>
      </c>
      <c r="E184" s="524" t="s">
        <v>1358</v>
      </c>
      <c r="F184" s="524" t="s">
        <v>2160</v>
      </c>
      <c r="G184" s="524" t="s">
        <v>1361</v>
      </c>
      <c r="H184" s="524"/>
      <c r="I184" s="524"/>
      <c r="J184" s="524"/>
      <c r="K184" s="634" t="s">
        <v>2197</v>
      </c>
      <c r="L184" s="635">
        <f>SUM(L185:L187)</f>
        <v>0</v>
      </c>
      <c r="M184" s="635">
        <f t="shared" ref="M184:U184" si="62">SUM(M185:M187)</f>
        <v>0</v>
      </c>
      <c r="N184" s="635">
        <f t="shared" si="62"/>
        <v>0</v>
      </c>
      <c r="O184" s="635">
        <f t="shared" si="62"/>
        <v>0</v>
      </c>
      <c r="P184" s="635">
        <f t="shared" si="62"/>
        <v>0</v>
      </c>
      <c r="Q184" s="635">
        <f t="shared" si="62"/>
        <v>0</v>
      </c>
      <c r="R184" s="635">
        <f t="shared" si="62"/>
        <v>0</v>
      </c>
      <c r="S184" s="635">
        <f t="shared" si="62"/>
        <v>0</v>
      </c>
      <c r="T184" s="635">
        <f t="shared" si="62"/>
        <v>0</v>
      </c>
      <c r="U184" s="635">
        <f t="shared" si="62"/>
        <v>0</v>
      </c>
      <c r="V184" s="636" t="e">
        <f t="shared" si="50"/>
        <v>#DIV/0!</v>
      </c>
      <c r="W184" s="637"/>
      <c r="X184" s="587" t="e">
        <f t="shared" si="48"/>
        <v>#DIV/0!</v>
      </c>
      <c r="Y184" s="587" t="e">
        <f t="shared" si="48"/>
        <v>#DIV/0!</v>
      </c>
      <c r="Z184" s="587" t="e">
        <f t="shared" si="48"/>
        <v>#DIV/0!</v>
      </c>
      <c r="AA184" s="587" t="e">
        <f t="shared" si="48"/>
        <v>#DIV/0!</v>
      </c>
    </row>
    <row r="185" spans="1:27" ht="22.5" hidden="1" customHeight="1" thickTop="1" thickBot="1" x14ac:dyDescent="0.3">
      <c r="A185" s="451">
        <v>1</v>
      </c>
      <c r="B185" s="450" t="s">
        <v>1343</v>
      </c>
      <c r="C185" s="450" t="s">
        <v>1343</v>
      </c>
      <c r="D185" s="450" t="s">
        <v>1350</v>
      </c>
      <c r="E185" s="450" t="s">
        <v>1358</v>
      </c>
      <c r="F185" s="450" t="s">
        <v>2160</v>
      </c>
      <c r="G185" s="450" t="s">
        <v>1361</v>
      </c>
      <c r="H185" s="450" t="s">
        <v>1343</v>
      </c>
      <c r="I185" s="450"/>
      <c r="J185" s="450"/>
      <c r="K185" s="647" t="s">
        <v>2198</v>
      </c>
      <c r="L185" s="641"/>
      <c r="M185" s="641"/>
      <c r="N185" s="641"/>
      <c r="O185" s="641">
        <f>+L185+M185-N185</f>
        <v>0</v>
      </c>
      <c r="P185" s="641"/>
      <c r="Q185" s="641"/>
      <c r="R185" s="641"/>
      <c r="S185" s="641"/>
      <c r="T185" s="641"/>
      <c r="U185" s="641"/>
      <c r="V185" s="648" t="e">
        <f t="shared" si="50"/>
        <v>#DIV/0!</v>
      </c>
      <c r="W185" s="644"/>
      <c r="X185" s="584" t="e">
        <f t="shared" si="48"/>
        <v>#DIV/0!</v>
      </c>
      <c r="Y185" s="584" t="e">
        <f t="shared" si="48"/>
        <v>#DIV/0!</v>
      </c>
      <c r="Z185" s="584" t="e">
        <f t="shared" si="48"/>
        <v>#DIV/0!</v>
      </c>
      <c r="AA185" s="584" t="e">
        <f t="shared" si="48"/>
        <v>#DIV/0!</v>
      </c>
    </row>
    <row r="186" spans="1:27" ht="22.5" hidden="1" customHeight="1" thickTop="1" thickBot="1" x14ac:dyDescent="0.3">
      <c r="A186" s="451">
        <v>1</v>
      </c>
      <c r="B186" s="450" t="s">
        <v>1343</v>
      </c>
      <c r="C186" s="450" t="s">
        <v>1343</v>
      </c>
      <c r="D186" s="450" t="s">
        <v>1350</v>
      </c>
      <c r="E186" s="450" t="s">
        <v>1358</v>
      </c>
      <c r="F186" s="450" t="s">
        <v>2160</v>
      </c>
      <c r="G186" s="450" t="s">
        <v>1361</v>
      </c>
      <c r="H186" s="450" t="s">
        <v>1413</v>
      </c>
      <c r="I186" s="450"/>
      <c r="J186" s="450"/>
      <c r="K186" s="647" t="s">
        <v>2199</v>
      </c>
      <c r="L186" s="641"/>
      <c r="M186" s="641"/>
      <c r="N186" s="641"/>
      <c r="O186" s="641">
        <f>+L186+M186-N186</f>
        <v>0</v>
      </c>
      <c r="P186" s="641"/>
      <c r="Q186" s="641"/>
      <c r="R186" s="641"/>
      <c r="S186" s="641"/>
      <c r="T186" s="641"/>
      <c r="U186" s="641"/>
      <c r="V186" s="648" t="e">
        <f t="shared" si="50"/>
        <v>#DIV/0!</v>
      </c>
      <c r="W186" s="644"/>
      <c r="X186" s="584" t="e">
        <f t="shared" si="48"/>
        <v>#DIV/0!</v>
      </c>
      <c r="Y186" s="584" t="e">
        <f t="shared" si="48"/>
        <v>#DIV/0!</v>
      </c>
      <c r="Z186" s="584" t="e">
        <f t="shared" si="48"/>
        <v>#DIV/0!</v>
      </c>
      <c r="AA186" s="584" t="e">
        <f t="shared" si="48"/>
        <v>#DIV/0!</v>
      </c>
    </row>
    <row r="187" spans="1:27" ht="22.5" hidden="1" customHeight="1" thickTop="1" thickBot="1" x14ac:dyDescent="0.3">
      <c r="A187" s="451">
        <v>1</v>
      </c>
      <c r="B187" s="450" t="s">
        <v>1343</v>
      </c>
      <c r="C187" s="450" t="s">
        <v>1343</v>
      </c>
      <c r="D187" s="450" t="s">
        <v>1350</v>
      </c>
      <c r="E187" s="450" t="s">
        <v>1358</v>
      </c>
      <c r="F187" s="450" t="s">
        <v>2160</v>
      </c>
      <c r="G187" s="450" t="s">
        <v>1361</v>
      </c>
      <c r="H187" s="450" t="s">
        <v>2076</v>
      </c>
      <c r="I187" s="450"/>
      <c r="J187" s="450"/>
      <c r="K187" s="647" t="s">
        <v>2212</v>
      </c>
      <c r="L187" s="641"/>
      <c r="M187" s="641"/>
      <c r="N187" s="641"/>
      <c r="O187" s="641">
        <f>+L187+M187-N187</f>
        <v>0</v>
      </c>
      <c r="P187" s="641"/>
      <c r="Q187" s="641"/>
      <c r="R187" s="641"/>
      <c r="S187" s="641"/>
      <c r="T187" s="641"/>
      <c r="U187" s="641"/>
      <c r="V187" s="648" t="e">
        <f t="shared" si="50"/>
        <v>#DIV/0!</v>
      </c>
      <c r="W187" s="644"/>
      <c r="X187" s="584" t="e">
        <f t="shared" si="48"/>
        <v>#DIV/0!</v>
      </c>
      <c r="Y187" s="584" t="e">
        <f t="shared" si="48"/>
        <v>#DIV/0!</v>
      </c>
      <c r="Z187" s="584" t="e">
        <f t="shared" si="48"/>
        <v>#DIV/0!</v>
      </c>
      <c r="AA187" s="584" t="e">
        <f t="shared" si="48"/>
        <v>#DIV/0!</v>
      </c>
    </row>
    <row r="188" spans="1:27" s="587" customFormat="1" ht="22.5" hidden="1" customHeight="1" thickTop="1" thickBot="1" x14ac:dyDescent="0.3">
      <c r="A188" s="633">
        <v>1</v>
      </c>
      <c r="B188" s="524" t="s">
        <v>1343</v>
      </c>
      <c r="C188" s="524" t="s">
        <v>1343</v>
      </c>
      <c r="D188" s="524" t="s">
        <v>1350</v>
      </c>
      <c r="E188" s="524" t="s">
        <v>1358</v>
      </c>
      <c r="F188" s="524" t="s">
        <v>2160</v>
      </c>
      <c r="G188" s="524" t="s">
        <v>1390</v>
      </c>
      <c r="H188" s="524"/>
      <c r="I188" s="524"/>
      <c r="J188" s="524"/>
      <c r="K188" s="634" t="s">
        <v>2201</v>
      </c>
      <c r="L188" s="635">
        <f>SUM(L189:L191)</f>
        <v>0</v>
      </c>
      <c r="M188" s="635">
        <f t="shared" ref="M188:U188" si="63">SUM(M189:M191)</f>
        <v>0</v>
      </c>
      <c r="N188" s="635">
        <f t="shared" si="63"/>
        <v>0</v>
      </c>
      <c r="O188" s="635">
        <f t="shared" si="63"/>
        <v>0</v>
      </c>
      <c r="P188" s="635">
        <f t="shared" si="63"/>
        <v>0</v>
      </c>
      <c r="Q188" s="635">
        <f t="shared" si="63"/>
        <v>0</v>
      </c>
      <c r="R188" s="635">
        <f t="shared" si="63"/>
        <v>0</v>
      </c>
      <c r="S188" s="635">
        <f t="shared" si="63"/>
        <v>0</v>
      </c>
      <c r="T188" s="635">
        <f t="shared" si="63"/>
        <v>0</v>
      </c>
      <c r="U188" s="635">
        <f t="shared" si="63"/>
        <v>0</v>
      </c>
      <c r="V188" s="636" t="e">
        <f t="shared" si="50"/>
        <v>#DIV/0!</v>
      </c>
      <c r="W188" s="637"/>
      <c r="X188" s="587" t="e">
        <f t="shared" si="48"/>
        <v>#DIV/0!</v>
      </c>
      <c r="Y188" s="587" t="e">
        <f t="shared" si="48"/>
        <v>#DIV/0!</v>
      </c>
      <c r="Z188" s="587" t="e">
        <f t="shared" si="48"/>
        <v>#DIV/0!</v>
      </c>
      <c r="AA188" s="587" t="e">
        <f t="shared" si="48"/>
        <v>#DIV/0!</v>
      </c>
    </row>
    <row r="189" spans="1:27" ht="22.5" hidden="1" customHeight="1" thickTop="1" thickBot="1" x14ac:dyDescent="0.3">
      <c r="A189" s="451">
        <v>1</v>
      </c>
      <c r="B189" s="450" t="s">
        <v>1343</v>
      </c>
      <c r="C189" s="450" t="s">
        <v>1343</v>
      </c>
      <c r="D189" s="450" t="s">
        <v>1350</v>
      </c>
      <c r="E189" s="450" t="s">
        <v>1358</v>
      </c>
      <c r="F189" s="450" t="s">
        <v>2160</v>
      </c>
      <c r="G189" s="450" t="s">
        <v>1390</v>
      </c>
      <c r="H189" s="450" t="s">
        <v>1343</v>
      </c>
      <c r="I189" s="450"/>
      <c r="J189" s="450"/>
      <c r="K189" s="647" t="s">
        <v>2202</v>
      </c>
      <c r="L189" s="641"/>
      <c r="M189" s="641"/>
      <c r="N189" s="641"/>
      <c r="O189" s="641">
        <f>+L189+M189-N189</f>
        <v>0</v>
      </c>
      <c r="P189" s="641"/>
      <c r="Q189" s="641"/>
      <c r="R189" s="641"/>
      <c r="S189" s="641"/>
      <c r="T189" s="641"/>
      <c r="U189" s="641"/>
      <c r="V189" s="648" t="e">
        <f t="shared" si="50"/>
        <v>#DIV/0!</v>
      </c>
      <c r="W189" s="644"/>
      <c r="X189" s="584" t="e">
        <f t="shared" si="48"/>
        <v>#DIV/0!</v>
      </c>
      <c r="Y189" s="584" t="e">
        <f t="shared" si="48"/>
        <v>#DIV/0!</v>
      </c>
      <c r="Z189" s="584" t="e">
        <f t="shared" si="48"/>
        <v>#DIV/0!</v>
      </c>
      <c r="AA189" s="584" t="e">
        <f t="shared" si="48"/>
        <v>#DIV/0!</v>
      </c>
    </row>
    <row r="190" spans="1:27" ht="22.5" hidden="1" customHeight="1" thickTop="1" thickBot="1" x14ac:dyDescent="0.3">
      <c r="A190" s="451">
        <v>1</v>
      </c>
      <c r="B190" s="450" t="s">
        <v>1343</v>
      </c>
      <c r="C190" s="450" t="s">
        <v>1343</v>
      </c>
      <c r="D190" s="450" t="s">
        <v>1350</v>
      </c>
      <c r="E190" s="450" t="s">
        <v>1358</v>
      </c>
      <c r="F190" s="450" t="s">
        <v>2160</v>
      </c>
      <c r="G190" s="450" t="s">
        <v>1390</v>
      </c>
      <c r="H190" s="450" t="s">
        <v>1413</v>
      </c>
      <c r="I190" s="450"/>
      <c r="J190" s="450"/>
      <c r="K190" s="647" t="s">
        <v>2203</v>
      </c>
      <c r="L190" s="641"/>
      <c r="M190" s="641"/>
      <c r="N190" s="641"/>
      <c r="O190" s="641">
        <f>+L190+M190-N190</f>
        <v>0</v>
      </c>
      <c r="P190" s="641"/>
      <c r="Q190" s="641"/>
      <c r="R190" s="641"/>
      <c r="S190" s="641"/>
      <c r="T190" s="641"/>
      <c r="U190" s="641"/>
      <c r="V190" s="648" t="e">
        <f t="shared" si="50"/>
        <v>#DIV/0!</v>
      </c>
      <c r="W190" s="644"/>
      <c r="X190" s="584" t="e">
        <f t="shared" si="48"/>
        <v>#DIV/0!</v>
      </c>
      <c r="Y190" s="584" t="e">
        <f t="shared" si="48"/>
        <v>#DIV/0!</v>
      </c>
      <c r="Z190" s="584" t="e">
        <f t="shared" si="48"/>
        <v>#DIV/0!</v>
      </c>
      <c r="AA190" s="584" t="e">
        <f t="shared" si="48"/>
        <v>#DIV/0!</v>
      </c>
    </row>
    <row r="191" spans="1:27" ht="22.5" hidden="1" customHeight="1" thickTop="1" thickBot="1" x14ac:dyDescent="0.3">
      <c r="A191" s="451">
        <v>1</v>
      </c>
      <c r="B191" s="450" t="s">
        <v>1343</v>
      </c>
      <c r="C191" s="450" t="s">
        <v>1343</v>
      </c>
      <c r="D191" s="450" t="s">
        <v>1350</v>
      </c>
      <c r="E191" s="450" t="s">
        <v>1358</v>
      </c>
      <c r="F191" s="450" t="s">
        <v>2160</v>
      </c>
      <c r="G191" s="450" t="s">
        <v>1390</v>
      </c>
      <c r="H191" s="450" t="s">
        <v>2076</v>
      </c>
      <c r="I191" s="450"/>
      <c r="J191" s="450"/>
      <c r="K191" s="647" t="s">
        <v>2204</v>
      </c>
      <c r="L191" s="641"/>
      <c r="M191" s="641"/>
      <c r="N191" s="641"/>
      <c r="O191" s="641">
        <f>+L191+M191-N191</f>
        <v>0</v>
      </c>
      <c r="P191" s="641"/>
      <c r="Q191" s="641"/>
      <c r="R191" s="641"/>
      <c r="S191" s="641"/>
      <c r="T191" s="641"/>
      <c r="U191" s="641"/>
      <c r="V191" s="648" t="e">
        <f t="shared" si="50"/>
        <v>#DIV/0!</v>
      </c>
      <c r="W191" s="644"/>
      <c r="X191" s="584" t="e">
        <f t="shared" si="48"/>
        <v>#DIV/0!</v>
      </c>
      <c r="Y191" s="584" t="e">
        <f t="shared" si="48"/>
        <v>#DIV/0!</v>
      </c>
      <c r="Z191" s="584" t="e">
        <f t="shared" si="48"/>
        <v>#DIV/0!</v>
      </c>
      <c r="AA191" s="584" t="e">
        <f t="shared" si="48"/>
        <v>#DIV/0!</v>
      </c>
    </row>
    <row r="192" spans="1:27" s="619" customFormat="1" ht="22.5" customHeight="1" thickTop="1" thickBot="1" x14ac:dyDescent="0.3">
      <c r="A192" s="619">
        <v>1</v>
      </c>
      <c r="B192" s="619" t="s">
        <v>1343</v>
      </c>
      <c r="C192" s="619" t="s">
        <v>1343</v>
      </c>
      <c r="D192" s="619" t="s">
        <v>1350</v>
      </c>
      <c r="E192" s="619" t="s">
        <v>1359</v>
      </c>
      <c r="K192" s="623" t="s">
        <v>2213</v>
      </c>
      <c r="L192" s="621">
        <f>+L193+L205+L211+L225+L229+L204</f>
        <v>711763391</v>
      </c>
      <c r="M192" s="621">
        <f>+M193+M205+M211+M225+M229+M204</f>
        <v>7783100588</v>
      </c>
      <c r="N192" s="621">
        <f>+N193+N205+N211+N225+N229+N204</f>
        <v>0</v>
      </c>
      <c r="O192" s="621">
        <f>+O193+O205+O211+O225+O229+O204</f>
        <v>8494863979</v>
      </c>
      <c r="P192" s="621">
        <f t="shared" ref="P192:U192" si="64">+P193+P205+P211+P225+P229+P204</f>
        <v>0</v>
      </c>
      <c r="Q192" s="621">
        <f t="shared" si="64"/>
        <v>8494863979</v>
      </c>
      <c r="R192" s="621">
        <f t="shared" si="64"/>
        <v>0</v>
      </c>
      <c r="S192" s="621">
        <f t="shared" si="64"/>
        <v>0</v>
      </c>
      <c r="T192" s="621"/>
      <c r="U192" s="621">
        <f t="shared" si="64"/>
        <v>6055018508</v>
      </c>
      <c r="V192" s="673" t="e">
        <f t="shared" si="50"/>
        <v>#DIV/0!</v>
      </c>
      <c r="X192" s="674">
        <f t="shared" si="48"/>
        <v>0</v>
      </c>
      <c r="Y192" s="674">
        <f t="shared" si="48"/>
        <v>1</v>
      </c>
      <c r="Z192" s="674">
        <f t="shared" si="48"/>
        <v>0</v>
      </c>
      <c r="AA192" s="674">
        <f t="shared" si="48"/>
        <v>0</v>
      </c>
    </row>
    <row r="193" spans="1:27" s="663" customFormat="1" ht="22.5" customHeight="1" thickTop="1" thickBot="1" x14ac:dyDescent="0.3">
      <c r="A193" s="655">
        <v>1</v>
      </c>
      <c r="B193" s="656" t="s">
        <v>1343</v>
      </c>
      <c r="C193" s="656" t="s">
        <v>1343</v>
      </c>
      <c r="D193" s="656" t="s">
        <v>1350</v>
      </c>
      <c r="E193" s="656" t="s">
        <v>1359</v>
      </c>
      <c r="F193" s="656" t="s">
        <v>2214</v>
      </c>
      <c r="G193" s="656"/>
      <c r="H193" s="656"/>
      <c r="I193" s="656"/>
      <c r="J193" s="656"/>
      <c r="K193" s="658" t="s">
        <v>1869</v>
      </c>
      <c r="L193" s="659">
        <f t="shared" ref="L193:U193" si="65">+L194+L199</f>
        <v>711763391</v>
      </c>
      <c r="M193" s="659">
        <f t="shared" si="65"/>
        <v>0</v>
      </c>
      <c r="N193" s="659">
        <f t="shared" si="65"/>
        <v>0</v>
      </c>
      <c r="O193" s="659">
        <f t="shared" si="65"/>
        <v>711763391</v>
      </c>
      <c r="P193" s="659">
        <f t="shared" si="65"/>
        <v>0</v>
      </c>
      <c r="Q193" s="659">
        <f t="shared" si="65"/>
        <v>711763391</v>
      </c>
      <c r="R193" s="659">
        <f t="shared" si="65"/>
        <v>0</v>
      </c>
      <c r="S193" s="659">
        <f t="shared" si="65"/>
        <v>0</v>
      </c>
      <c r="T193" s="659">
        <f t="shared" si="65"/>
        <v>762628262</v>
      </c>
      <c r="U193" s="659">
        <f t="shared" si="65"/>
        <v>771917920</v>
      </c>
      <c r="V193" s="660">
        <f t="shared" si="50"/>
        <v>1.0121811090184853</v>
      </c>
      <c r="W193" s="661"/>
      <c r="X193" s="662">
        <f t="shared" si="48"/>
        <v>0</v>
      </c>
      <c r="Y193" s="662">
        <f t="shared" si="48"/>
        <v>1</v>
      </c>
      <c r="Z193" s="662">
        <f t="shared" si="48"/>
        <v>0</v>
      </c>
      <c r="AA193" s="662">
        <f t="shared" si="48"/>
        <v>0</v>
      </c>
    </row>
    <row r="194" spans="1:27" s="587" customFormat="1" ht="22.5" customHeight="1" thickTop="1" thickBot="1" x14ac:dyDescent="0.3">
      <c r="A194" s="633">
        <v>1</v>
      </c>
      <c r="B194" s="524" t="s">
        <v>1343</v>
      </c>
      <c r="C194" s="524" t="s">
        <v>1343</v>
      </c>
      <c r="D194" s="524" t="s">
        <v>1350</v>
      </c>
      <c r="E194" s="524" t="s">
        <v>1359</v>
      </c>
      <c r="F194" s="524" t="s">
        <v>2214</v>
      </c>
      <c r="G194" s="524" t="s">
        <v>1345</v>
      </c>
      <c r="H194" s="524"/>
      <c r="I194" s="524"/>
      <c r="J194" s="524"/>
      <c r="K194" s="634" t="s">
        <v>1870</v>
      </c>
      <c r="L194" s="635">
        <f t="shared" ref="L194:U194" si="66">+L195</f>
        <v>711763391</v>
      </c>
      <c r="M194" s="635">
        <f t="shared" si="66"/>
        <v>0</v>
      </c>
      <c r="N194" s="635">
        <f t="shared" si="66"/>
        <v>0</v>
      </c>
      <c r="O194" s="635">
        <f t="shared" si="66"/>
        <v>711763391</v>
      </c>
      <c r="P194" s="635">
        <f t="shared" si="66"/>
        <v>0</v>
      </c>
      <c r="Q194" s="635">
        <f t="shared" si="66"/>
        <v>711763391</v>
      </c>
      <c r="R194" s="635">
        <f t="shared" si="66"/>
        <v>0</v>
      </c>
      <c r="S194" s="635">
        <f t="shared" si="66"/>
        <v>0</v>
      </c>
      <c r="T194" s="635">
        <f t="shared" si="66"/>
        <v>762628262</v>
      </c>
      <c r="U194" s="635">
        <f t="shared" si="66"/>
        <v>771917920</v>
      </c>
      <c r="V194" s="636">
        <f t="shared" si="50"/>
        <v>1.0121811090184853</v>
      </c>
      <c r="W194" s="637"/>
      <c r="X194" s="638">
        <f t="shared" si="48"/>
        <v>0</v>
      </c>
      <c r="Y194" s="638">
        <f t="shared" si="48"/>
        <v>1</v>
      </c>
      <c r="Z194" s="638">
        <f t="shared" si="48"/>
        <v>0</v>
      </c>
      <c r="AA194" s="638">
        <f t="shared" si="48"/>
        <v>0</v>
      </c>
    </row>
    <row r="195" spans="1:27" s="587" customFormat="1" ht="22.5" customHeight="1" thickTop="1" thickBot="1" x14ac:dyDescent="0.3">
      <c r="A195" s="633">
        <v>1</v>
      </c>
      <c r="B195" s="524" t="s">
        <v>1343</v>
      </c>
      <c r="C195" s="524" t="s">
        <v>1343</v>
      </c>
      <c r="D195" s="524" t="s">
        <v>1350</v>
      </c>
      <c r="E195" s="524" t="s">
        <v>1359</v>
      </c>
      <c r="F195" s="524" t="s">
        <v>2214</v>
      </c>
      <c r="G195" s="524" t="s">
        <v>1345</v>
      </c>
      <c r="H195" s="524" t="s">
        <v>2215</v>
      </c>
      <c r="I195" s="524"/>
      <c r="J195" s="524"/>
      <c r="K195" s="634" t="s">
        <v>1871</v>
      </c>
      <c r="L195" s="635">
        <f>SUM(L196:L198)</f>
        <v>711763391</v>
      </c>
      <c r="M195" s="635">
        <f>SUM(M196:M198)</f>
        <v>0</v>
      </c>
      <c r="N195" s="635">
        <f>SUM(N196:N198)</f>
        <v>0</v>
      </c>
      <c r="O195" s="635">
        <f t="shared" ref="O195:U195" si="67">SUM(O196:O198)</f>
        <v>711763391</v>
      </c>
      <c r="P195" s="635">
        <f t="shared" si="67"/>
        <v>0</v>
      </c>
      <c r="Q195" s="635">
        <f t="shared" si="67"/>
        <v>711763391</v>
      </c>
      <c r="R195" s="635">
        <f t="shared" si="67"/>
        <v>0</v>
      </c>
      <c r="S195" s="635">
        <f t="shared" si="67"/>
        <v>0</v>
      </c>
      <c r="T195" s="635">
        <f t="shared" si="67"/>
        <v>762628262</v>
      </c>
      <c r="U195" s="635">
        <f t="shared" si="67"/>
        <v>771917920</v>
      </c>
      <c r="V195" s="636">
        <f t="shared" si="50"/>
        <v>1.0121811090184853</v>
      </c>
      <c r="W195" s="637"/>
      <c r="X195" s="638">
        <f t="shared" si="48"/>
        <v>0</v>
      </c>
      <c r="Y195" s="638">
        <f t="shared" si="48"/>
        <v>1</v>
      </c>
      <c r="Z195" s="638">
        <f t="shared" si="48"/>
        <v>0</v>
      </c>
      <c r="AA195" s="638">
        <f t="shared" si="48"/>
        <v>0</v>
      </c>
    </row>
    <row r="196" spans="1:27" ht="22.5" customHeight="1" thickTop="1" thickBot="1" x14ac:dyDescent="0.3">
      <c r="A196" s="451">
        <v>1</v>
      </c>
      <c r="B196" s="450" t="s">
        <v>1343</v>
      </c>
      <c r="C196" s="450" t="s">
        <v>1343</v>
      </c>
      <c r="D196" s="450" t="s">
        <v>1350</v>
      </c>
      <c r="E196" s="450" t="s">
        <v>1359</v>
      </c>
      <c r="F196" s="450" t="s">
        <v>2214</v>
      </c>
      <c r="G196" s="450" t="s">
        <v>1345</v>
      </c>
      <c r="H196" s="450" t="s">
        <v>2215</v>
      </c>
      <c r="I196" s="450" t="s">
        <v>1343</v>
      </c>
      <c r="J196" s="450"/>
      <c r="K196" s="639" t="s">
        <v>2216</v>
      </c>
      <c r="L196" s="641">
        <v>621763391</v>
      </c>
      <c r="M196" s="641">
        <v>0</v>
      </c>
      <c r="N196" s="641">
        <v>0</v>
      </c>
      <c r="O196" s="642">
        <f>+L196+M196-N196</f>
        <v>621763391</v>
      </c>
      <c r="P196" s="642"/>
      <c r="Q196" s="642">
        <v>621763391</v>
      </c>
      <c r="R196" s="642"/>
      <c r="S196" s="642"/>
      <c r="T196" s="642">
        <v>672628262</v>
      </c>
      <c r="U196" s="642">
        <v>571648429</v>
      </c>
      <c r="V196" s="643">
        <f t="shared" si="50"/>
        <v>0.84987274739282359</v>
      </c>
      <c r="W196" s="644"/>
      <c r="X196" s="646">
        <f t="shared" si="48"/>
        <v>0</v>
      </c>
      <c r="Y196" s="646">
        <f t="shared" si="48"/>
        <v>1</v>
      </c>
      <c r="Z196" s="646">
        <f t="shared" si="48"/>
        <v>0</v>
      </c>
      <c r="AA196" s="646">
        <f t="shared" si="48"/>
        <v>0</v>
      </c>
    </row>
    <row r="197" spans="1:27" ht="22.5" customHeight="1" thickTop="1" thickBot="1" x14ac:dyDescent="0.3">
      <c r="A197" s="451">
        <v>1</v>
      </c>
      <c r="B197" s="450" t="s">
        <v>1343</v>
      </c>
      <c r="C197" s="450" t="s">
        <v>1343</v>
      </c>
      <c r="D197" s="450" t="s">
        <v>1350</v>
      </c>
      <c r="E197" s="450" t="s">
        <v>1359</v>
      </c>
      <c r="F197" s="450" t="s">
        <v>2214</v>
      </c>
      <c r="G197" s="450" t="s">
        <v>1345</v>
      </c>
      <c r="H197" s="450" t="s">
        <v>2215</v>
      </c>
      <c r="I197" s="450" t="s">
        <v>1413</v>
      </c>
      <c r="J197" s="450"/>
      <c r="K197" s="639" t="s">
        <v>2217</v>
      </c>
      <c r="L197" s="641">
        <v>90000000</v>
      </c>
      <c r="M197" s="641">
        <v>0</v>
      </c>
      <c r="N197" s="641">
        <v>0</v>
      </c>
      <c r="O197" s="642">
        <f>+L197+M197-N197</f>
        <v>90000000</v>
      </c>
      <c r="P197" s="642"/>
      <c r="Q197" s="642">
        <v>90000000</v>
      </c>
      <c r="R197" s="642"/>
      <c r="S197" s="642"/>
      <c r="T197" s="642">
        <f>+Q197+R197-S197</f>
        <v>90000000</v>
      </c>
      <c r="U197" s="642">
        <v>200269491</v>
      </c>
      <c r="V197" s="643">
        <f t="shared" si="50"/>
        <v>2.2252165666666666</v>
      </c>
      <c r="W197" s="644"/>
      <c r="X197" s="646">
        <f t="shared" si="48"/>
        <v>0</v>
      </c>
      <c r="Y197" s="646">
        <f t="shared" si="48"/>
        <v>1</v>
      </c>
      <c r="Z197" s="646">
        <f t="shared" si="48"/>
        <v>0</v>
      </c>
      <c r="AA197" s="646">
        <f t="shared" si="48"/>
        <v>0</v>
      </c>
    </row>
    <row r="198" spans="1:27" ht="22.5" hidden="1" customHeight="1" thickTop="1" thickBot="1" x14ac:dyDescent="0.3">
      <c r="A198" s="451">
        <v>1</v>
      </c>
      <c r="B198" s="450" t="s">
        <v>1343</v>
      </c>
      <c r="C198" s="450" t="s">
        <v>1343</v>
      </c>
      <c r="D198" s="450" t="s">
        <v>1350</v>
      </c>
      <c r="E198" s="450" t="s">
        <v>1359</v>
      </c>
      <c r="F198" s="450" t="s">
        <v>2214</v>
      </c>
      <c r="G198" s="450" t="s">
        <v>1345</v>
      </c>
      <c r="H198" s="450" t="s">
        <v>2215</v>
      </c>
      <c r="I198" s="450" t="s">
        <v>2076</v>
      </c>
      <c r="J198" s="450"/>
      <c r="K198" s="647" t="s">
        <v>2218</v>
      </c>
      <c r="L198" s="641">
        <v>0</v>
      </c>
      <c r="M198" s="641"/>
      <c r="N198" s="641"/>
      <c r="O198" s="641">
        <f>+L198+M198-N198</f>
        <v>0</v>
      </c>
      <c r="P198" s="641"/>
      <c r="Q198" s="641"/>
      <c r="R198" s="641"/>
      <c r="S198" s="641"/>
      <c r="T198" s="641"/>
      <c r="U198" s="641"/>
      <c r="V198" s="648" t="e">
        <f t="shared" si="50"/>
        <v>#DIV/0!</v>
      </c>
      <c r="W198" s="644"/>
      <c r="X198" s="584" t="e">
        <f t="shared" si="48"/>
        <v>#DIV/0!</v>
      </c>
      <c r="Y198" s="584" t="e">
        <f t="shared" si="48"/>
        <v>#DIV/0!</v>
      </c>
      <c r="Z198" s="584" t="e">
        <f t="shared" si="48"/>
        <v>#DIV/0!</v>
      </c>
      <c r="AA198" s="584" t="e">
        <f t="shared" si="48"/>
        <v>#DIV/0!</v>
      </c>
    </row>
    <row r="199" spans="1:27" s="587" customFormat="1" ht="22.5" hidden="1" customHeight="1" thickTop="1" thickBot="1" x14ac:dyDescent="0.3">
      <c r="A199" s="633">
        <v>1</v>
      </c>
      <c r="B199" s="524" t="s">
        <v>1343</v>
      </c>
      <c r="C199" s="524" t="s">
        <v>1343</v>
      </c>
      <c r="D199" s="524" t="s">
        <v>1350</v>
      </c>
      <c r="E199" s="524" t="s">
        <v>1359</v>
      </c>
      <c r="F199" s="524" t="s">
        <v>2214</v>
      </c>
      <c r="G199" s="524" t="s">
        <v>1354</v>
      </c>
      <c r="H199" s="524"/>
      <c r="I199" s="524"/>
      <c r="J199" s="524"/>
      <c r="K199" s="634" t="s">
        <v>1872</v>
      </c>
      <c r="L199" s="635">
        <f>+L200</f>
        <v>0</v>
      </c>
      <c r="M199" s="635">
        <f t="shared" ref="M199:U199" si="68">+M200</f>
        <v>0</v>
      </c>
      <c r="N199" s="635">
        <f t="shared" si="68"/>
        <v>0</v>
      </c>
      <c r="O199" s="635">
        <f t="shared" si="68"/>
        <v>0</v>
      </c>
      <c r="P199" s="635">
        <f t="shared" si="68"/>
        <v>0</v>
      </c>
      <c r="Q199" s="635">
        <f t="shared" si="68"/>
        <v>0</v>
      </c>
      <c r="R199" s="635">
        <f t="shared" si="68"/>
        <v>0</v>
      </c>
      <c r="S199" s="635">
        <f t="shared" si="68"/>
        <v>0</v>
      </c>
      <c r="T199" s="635">
        <f t="shared" si="68"/>
        <v>0</v>
      </c>
      <c r="U199" s="635">
        <f t="shared" si="68"/>
        <v>0</v>
      </c>
      <c r="V199" s="636" t="e">
        <f t="shared" si="50"/>
        <v>#DIV/0!</v>
      </c>
      <c r="W199" s="637"/>
      <c r="X199" s="587" t="e">
        <f t="shared" si="48"/>
        <v>#DIV/0!</v>
      </c>
      <c r="Y199" s="587" t="e">
        <f t="shared" si="48"/>
        <v>#DIV/0!</v>
      </c>
      <c r="Z199" s="587" t="e">
        <f t="shared" si="48"/>
        <v>#DIV/0!</v>
      </c>
      <c r="AA199" s="587" t="e">
        <f t="shared" ref="AA199:AA262" si="69">+S199/$O199</f>
        <v>#DIV/0!</v>
      </c>
    </row>
    <row r="200" spans="1:27" s="587" customFormat="1" ht="22.5" hidden="1" customHeight="1" thickTop="1" thickBot="1" x14ac:dyDescent="0.3">
      <c r="A200" s="633">
        <v>1</v>
      </c>
      <c r="B200" s="524" t="s">
        <v>1343</v>
      </c>
      <c r="C200" s="524" t="s">
        <v>1343</v>
      </c>
      <c r="D200" s="524" t="s">
        <v>1350</v>
      </c>
      <c r="E200" s="524" t="s">
        <v>1359</v>
      </c>
      <c r="F200" s="524" t="s">
        <v>2214</v>
      </c>
      <c r="G200" s="524" t="s">
        <v>1354</v>
      </c>
      <c r="H200" s="524" t="s">
        <v>1354</v>
      </c>
      <c r="I200" s="524"/>
      <c r="J200" s="524"/>
      <c r="K200" s="634" t="s">
        <v>1873</v>
      </c>
      <c r="L200" s="635">
        <f>SUM(L201:L203)</f>
        <v>0</v>
      </c>
      <c r="M200" s="635">
        <f t="shared" ref="M200:U200" si="70">SUM(M201:M203)</f>
        <v>0</v>
      </c>
      <c r="N200" s="635">
        <f t="shared" si="70"/>
        <v>0</v>
      </c>
      <c r="O200" s="635">
        <f t="shared" si="70"/>
        <v>0</v>
      </c>
      <c r="P200" s="635">
        <f t="shared" si="70"/>
        <v>0</v>
      </c>
      <c r="Q200" s="635">
        <f t="shared" si="70"/>
        <v>0</v>
      </c>
      <c r="R200" s="635">
        <f t="shared" si="70"/>
        <v>0</v>
      </c>
      <c r="S200" s="635">
        <f t="shared" si="70"/>
        <v>0</v>
      </c>
      <c r="T200" s="635">
        <f t="shared" si="70"/>
        <v>0</v>
      </c>
      <c r="U200" s="635">
        <f t="shared" si="70"/>
        <v>0</v>
      </c>
      <c r="V200" s="636" t="e">
        <f t="shared" si="50"/>
        <v>#DIV/0!</v>
      </c>
      <c r="W200" s="637"/>
      <c r="X200" s="587" t="e">
        <f t="shared" ref="X200:AA263" si="71">+P200/$O200</f>
        <v>#DIV/0!</v>
      </c>
      <c r="Y200" s="587" t="e">
        <f t="shared" si="71"/>
        <v>#DIV/0!</v>
      </c>
      <c r="Z200" s="587" t="e">
        <f t="shared" si="71"/>
        <v>#DIV/0!</v>
      </c>
      <c r="AA200" s="587" t="e">
        <f t="shared" si="69"/>
        <v>#DIV/0!</v>
      </c>
    </row>
    <row r="201" spans="1:27" ht="22.5" hidden="1" customHeight="1" thickTop="1" thickBot="1" x14ac:dyDescent="0.3">
      <c r="A201" s="451">
        <v>1</v>
      </c>
      <c r="B201" s="450" t="s">
        <v>1343</v>
      </c>
      <c r="C201" s="450" t="s">
        <v>1343</v>
      </c>
      <c r="D201" s="450" t="s">
        <v>1350</v>
      </c>
      <c r="E201" s="450" t="s">
        <v>1359</v>
      </c>
      <c r="F201" s="450" t="s">
        <v>2214</v>
      </c>
      <c r="G201" s="450" t="s">
        <v>1354</v>
      </c>
      <c r="H201" s="450" t="s">
        <v>1354</v>
      </c>
      <c r="I201" s="450" t="s">
        <v>1343</v>
      </c>
      <c r="J201" s="450"/>
      <c r="K201" s="647" t="s">
        <v>2219</v>
      </c>
      <c r="L201" s="641"/>
      <c r="M201" s="641"/>
      <c r="N201" s="641"/>
      <c r="O201" s="641">
        <f>+L201+M201-N201</f>
        <v>0</v>
      </c>
      <c r="P201" s="641"/>
      <c r="Q201" s="641"/>
      <c r="R201" s="641"/>
      <c r="S201" s="641"/>
      <c r="T201" s="641"/>
      <c r="U201" s="641"/>
      <c r="V201" s="648" t="e">
        <f t="shared" si="50"/>
        <v>#DIV/0!</v>
      </c>
      <c r="W201" s="644"/>
      <c r="X201" s="584" t="e">
        <f t="shared" si="71"/>
        <v>#DIV/0!</v>
      </c>
      <c r="Y201" s="584" t="e">
        <f t="shared" si="71"/>
        <v>#DIV/0!</v>
      </c>
      <c r="Z201" s="584" t="e">
        <f t="shared" si="71"/>
        <v>#DIV/0!</v>
      </c>
      <c r="AA201" s="584" t="e">
        <f t="shared" si="69"/>
        <v>#DIV/0!</v>
      </c>
    </row>
    <row r="202" spans="1:27" ht="22.5" hidden="1" customHeight="1" thickTop="1" thickBot="1" x14ac:dyDescent="0.3">
      <c r="A202" s="451">
        <v>1</v>
      </c>
      <c r="B202" s="450" t="s">
        <v>1343</v>
      </c>
      <c r="C202" s="450" t="s">
        <v>1343</v>
      </c>
      <c r="D202" s="450" t="s">
        <v>1350</v>
      </c>
      <c r="E202" s="450" t="s">
        <v>1359</v>
      </c>
      <c r="F202" s="450" t="s">
        <v>2214</v>
      </c>
      <c r="G202" s="450" t="s">
        <v>1354</v>
      </c>
      <c r="H202" s="450" t="s">
        <v>1354</v>
      </c>
      <c r="I202" s="450" t="s">
        <v>1413</v>
      </c>
      <c r="J202" s="450"/>
      <c r="K202" s="647" t="s">
        <v>2220</v>
      </c>
      <c r="L202" s="641"/>
      <c r="M202" s="641"/>
      <c r="N202" s="641"/>
      <c r="O202" s="641">
        <f>+L202+M202-N202</f>
        <v>0</v>
      </c>
      <c r="P202" s="641"/>
      <c r="Q202" s="641"/>
      <c r="R202" s="641"/>
      <c r="S202" s="641"/>
      <c r="T202" s="641"/>
      <c r="U202" s="641"/>
      <c r="V202" s="648" t="e">
        <f t="shared" si="50"/>
        <v>#DIV/0!</v>
      </c>
      <c r="W202" s="644"/>
      <c r="X202" s="584" t="e">
        <f t="shared" si="71"/>
        <v>#DIV/0!</v>
      </c>
      <c r="Y202" s="584" t="e">
        <f t="shared" si="71"/>
        <v>#DIV/0!</v>
      </c>
      <c r="Z202" s="584" t="e">
        <f t="shared" si="71"/>
        <v>#DIV/0!</v>
      </c>
      <c r="AA202" s="584" t="e">
        <f t="shared" si="69"/>
        <v>#DIV/0!</v>
      </c>
    </row>
    <row r="203" spans="1:27" ht="22.5" hidden="1" customHeight="1" thickTop="1" thickBot="1" x14ac:dyDescent="0.3">
      <c r="A203" s="451">
        <v>1</v>
      </c>
      <c r="B203" s="450" t="s">
        <v>1343</v>
      </c>
      <c r="C203" s="450" t="s">
        <v>1343</v>
      </c>
      <c r="D203" s="450" t="s">
        <v>1350</v>
      </c>
      <c r="E203" s="450" t="s">
        <v>1359</v>
      </c>
      <c r="F203" s="450" t="s">
        <v>2214</v>
      </c>
      <c r="G203" s="450" t="s">
        <v>1354</v>
      </c>
      <c r="H203" s="450" t="s">
        <v>1354</v>
      </c>
      <c r="I203" s="450" t="s">
        <v>2076</v>
      </c>
      <c r="J203" s="450"/>
      <c r="K203" s="647" t="s">
        <v>2221</v>
      </c>
      <c r="L203" s="641"/>
      <c r="M203" s="641"/>
      <c r="N203" s="641"/>
      <c r="O203" s="641">
        <f>+L203+M203-N203</f>
        <v>0</v>
      </c>
      <c r="P203" s="641"/>
      <c r="Q203" s="641"/>
      <c r="R203" s="641"/>
      <c r="S203" s="641"/>
      <c r="T203" s="641"/>
      <c r="U203" s="641"/>
      <c r="V203" s="648" t="e">
        <f t="shared" si="50"/>
        <v>#DIV/0!</v>
      </c>
      <c r="W203" s="644"/>
      <c r="X203" s="584" t="e">
        <f t="shared" si="71"/>
        <v>#DIV/0!</v>
      </c>
      <c r="Y203" s="584" t="e">
        <f t="shared" si="71"/>
        <v>#DIV/0!</v>
      </c>
      <c r="Z203" s="584" t="e">
        <f t="shared" si="71"/>
        <v>#DIV/0!</v>
      </c>
      <c r="AA203" s="584" t="e">
        <f t="shared" si="69"/>
        <v>#DIV/0!</v>
      </c>
    </row>
    <row r="204" spans="1:27" ht="22.5" customHeight="1" thickTop="1" thickBot="1" x14ac:dyDescent="0.3">
      <c r="A204" s="655">
        <v>1</v>
      </c>
      <c r="B204" s="656" t="s">
        <v>1343</v>
      </c>
      <c r="C204" s="656" t="s">
        <v>1343</v>
      </c>
      <c r="D204" s="656" t="s">
        <v>1350</v>
      </c>
      <c r="E204" s="656" t="s">
        <v>1359</v>
      </c>
      <c r="F204" s="656" t="s">
        <v>2222</v>
      </c>
      <c r="G204" s="656"/>
      <c r="H204" s="656"/>
      <c r="I204" s="656"/>
      <c r="J204" s="656"/>
      <c r="K204" s="686" t="s">
        <v>2223</v>
      </c>
      <c r="L204" s="659">
        <v>0</v>
      </c>
      <c r="M204" s="659">
        <v>7783100588</v>
      </c>
      <c r="N204" s="659">
        <v>0</v>
      </c>
      <c r="O204" s="678">
        <f>+L204+M204-N204</f>
        <v>7783100588</v>
      </c>
      <c r="P204" s="678"/>
      <c r="Q204" s="678">
        <v>7783100588</v>
      </c>
      <c r="R204" s="678"/>
      <c r="S204" s="678"/>
      <c r="T204" s="678">
        <f>+Q204+R204-S204</f>
        <v>7783100588</v>
      </c>
      <c r="U204" s="678">
        <v>5283100588</v>
      </c>
      <c r="V204" s="679">
        <f t="shared" si="50"/>
        <v>0.67879125141277175</v>
      </c>
      <c r="W204" s="644"/>
      <c r="X204" s="646">
        <f t="shared" si="71"/>
        <v>0</v>
      </c>
      <c r="Y204" s="646">
        <f t="shared" si="71"/>
        <v>1</v>
      </c>
      <c r="Z204" s="646">
        <f t="shared" si="71"/>
        <v>0</v>
      </c>
      <c r="AA204" s="646">
        <f t="shared" si="69"/>
        <v>0</v>
      </c>
    </row>
    <row r="205" spans="1:27" s="587" customFormat="1" ht="22.5" hidden="1" customHeight="1" thickTop="1" thickBot="1" x14ac:dyDescent="0.3">
      <c r="A205" s="633">
        <v>1</v>
      </c>
      <c r="B205" s="633">
        <v>1</v>
      </c>
      <c r="C205" s="524" t="s">
        <v>1343</v>
      </c>
      <c r="D205" s="633">
        <v>2</v>
      </c>
      <c r="E205" s="524" t="s">
        <v>1359</v>
      </c>
      <c r="F205" s="524" t="s">
        <v>2224</v>
      </c>
      <c r="G205" s="524"/>
      <c r="H205" s="524"/>
      <c r="I205" s="524"/>
      <c r="J205" s="524"/>
      <c r="K205" s="634" t="s">
        <v>2225</v>
      </c>
      <c r="L205" s="635">
        <f>+L206</f>
        <v>0</v>
      </c>
      <c r="M205" s="635">
        <f t="shared" ref="M205:U206" si="72">+M206</f>
        <v>0</v>
      </c>
      <c r="N205" s="635">
        <f t="shared" si="72"/>
        <v>0</v>
      </c>
      <c r="O205" s="635">
        <f t="shared" si="72"/>
        <v>0</v>
      </c>
      <c r="P205" s="635">
        <f t="shared" si="72"/>
        <v>0</v>
      </c>
      <c r="Q205" s="635">
        <f t="shared" si="72"/>
        <v>0</v>
      </c>
      <c r="R205" s="635">
        <f t="shared" si="72"/>
        <v>0</v>
      </c>
      <c r="S205" s="635">
        <f t="shared" si="72"/>
        <v>0</v>
      </c>
      <c r="T205" s="635">
        <f t="shared" si="72"/>
        <v>0</v>
      </c>
      <c r="U205" s="635">
        <f t="shared" si="72"/>
        <v>0</v>
      </c>
      <c r="V205" s="636" t="e">
        <f t="shared" si="50"/>
        <v>#DIV/0!</v>
      </c>
      <c r="W205" s="637"/>
      <c r="X205" s="587" t="e">
        <f t="shared" si="71"/>
        <v>#DIV/0!</v>
      </c>
      <c r="Y205" s="587" t="e">
        <f t="shared" si="71"/>
        <v>#DIV/0!</v>
      </c>
      <c r="Z205" s="587" t="e">
        <f t="shared" si="71"/>
        <v>#DIV/0!</v>
      </c>
      <c r="AA205" s="587" t="e">
        <f t="shared" si="69"/>
        <v>#DIV/0!</v>
      </c>
    </row>
    <row r="206" spans="1:27" s="587" customFormat="1" ht="22.5" hidden="1" customHeight="1" thickTop="1" thickBot="1" x14ac:dyDescent="0.3">
      <c r="A206" s="633">
        <v>1</v>
      </c>
      <c r="B206" s="633">
        <v>1</v>
      </c>
      <c r="C206" s="524" t="s">
        <v>1343</v>
      </c>
      <c r="D206" s="633">
        <v>2</v>
      </c>
      <c r="E206" s="524" t="s">
        <v>1359</v>
      </c>
      <c r="F206" s="524" t="s">
        <v>2224</v>
      </c>
      <c r="G206" s="524" t="s">
        <v>1350</v>
      </c>
      <c r="H206" s="524"/>
      <c r="I206" s="524"/>
      <c r="J206" s="524"/>
      <c r="K206" s="634" t="s">
        <v>2226</v>
      </c>
      <c r="L206" s="635">
        <f>+L207</f>
        <v>0</v>
      </c>
      <c r="M206" s="635">
        <f t="shared" si="72"/>
        <v>0</v>
      </c>
      <c r="N206" s="635">
        <f t="shared" si="72"/>
        <v>0</v>
      </c>
      <c r="O206" s="635">
        <f t="shared" si="72"/>
        <v>0</v>
      </c>
      <c r="P206" s="635">
        <f t="shared" si="72"/>
        <v>0</v>
      </c>
      <c r="Q206" s="635">
        <f t="shared" si="72"/>
        <v>0</v>
      </c>
      <c r="R206" s="635">
        <f t="shared" si="72"/>
        <v>0</v>
      </c>
      <c r="S206" s="635">
        <f t="shared" si="72"/>
        <v>0</v>
      </c>
      <c r="T206" s="635">
        <f t="shared" si="72"/>
        <v>0</v>
      </c>
      <c r="U206" s="635">
        <f t="shared" si="72"/>
        <v>0</v>
      </c>
      <c r="V206" s="636" t="e">
        <f t="shared" ref="V206:V269" si="73">+U206/T206</f>
        <v>#DIV/0!</v>
      </c>
      <c r="W206" s="637"/>
      <c r="X206" s="587" t="e">
        <f t="shared" si="71"/>
        <v>#DIV/0!</v>
      </c>
      <c r="Y206" s="587" t="e">
        <f t="shared" si="71"/>
        <v>#DIV/0!</v>
      </c>
      <c r="Z206" s="587" t="e">
        <f t="shared" si="71"/>
        <v>#DIV/0!</v>
      </c>
      <c r="AA206" s="587" t="e">
        <f t="shared" si="69"/>
        <v>#DIV/0!</v>
      </c>
    </row>
    <row r="207" spans="1:27" s="587" customFormat="1" ht="22.5" hidden="1" customHeight="1" thickTop="1" thickBot="1" x14ac:dyDescent="0.3">
      <c r="A207" s="633">
        <v>1</v>
      </c>
      <c r="B207" s="633">
        <v>1</v>
      </c>
      <c r="C207" s="524" t="s">
        <v>1343</v>
      </c>
      <c r="D207" s="633">
        <v>2</v>
      </c>
      <c r="E207" s="524" t="s">
        <v>1359</v>
      </c>
      <c r="F207" s="524" t="s">
        <v>2224</v>
      </c>
      <c r="G207" s="524" t="s">
        <v>1350</v>
      </c>
      <c r="H207" s="524" t="s">
        <v>1354</v>
      </c>
      <c r="I207" s="524"/>
      <c r="J207" s="524"/>
      <c r="K207" s="634" t="s">
        <v>2227</v>
      </c>
      <c r="L207" s="635">
        <f>SUM(L208:L210)</f>
        <v>0</v>
      </c>
      <c r="M207" s="635">
        <f t="shared" ref="M207:U207" si="74">SUM(M208:M210)</f>
        <v>0</v>
      </c>
      <c r="N207" s="635">
        <f t="shared" si="74"/>
        <v>0</v>
      </c>
      <c r="O207" s="635">
        <f t="shared" si="74"/>
        <v>0</v>
      </c>
      <c r="P207" s="635">
        <f t="shared" si="74"/>
        <v>0</v>
      </c>
      <c r="Q207" s="635">
        <f t="shared" si="74"/>
        <v>0</v>
      </c>
      <c r="R207" s="635">
        <f t="shared" si="74"/>
        <v>0</v>
      </c>
      <c r="S207" s="635">
        <f t="shared" si="74"/>
        <v>0</v>
      </c>
      <c r="T207" s="635">
        <f t="shared" si="74"/>
        <v>0</v>
      </c>
      <c r="U207" s="635">
        <f t="shared" si="74"/>
        <v>0</v>
      </c>
      <c r="V207" s="636" t="e">
        <f t="shared" si="73"/>
        <v>#DIV/0!</v>
      </c>
      <c r="W207" s="637"/>
      <c r="X207" s="587" t="e">
        <f t="shared" si="71"/>
        <v>#DIV/0!</v>
      </c>
      <c r="Y207" s="587" t="e">
        <f t="shared" si="71"/>
        <v>#DIV/0!</v>
      </c>
      <c r="Z207" s="587" t="e">
        <f t="shared" si="71"/>
        <v>#DIV/0!</v>
      </c>
      <c r="AA207" s="587" t="e">
        <f t="shared" si="69"/>
        <v>#DIV/0!</v>
      </c>
    </row>
    <row r="208" spans="1:27" ht="22.5" hidden="1" customHeight="1" thickTop="1" thickBot="1" x14ac:dyDescent="0.3">
      <c r="A208" s="451">
        <v>1</v>
      </c>
      <c r="B208" s="451">
        <v>1</v>
      </c>
      <c r="C208" s="450" t="s">
        <v>1343</v>
      </c>
      <c r="D208" s="451">
        <v>2</v>
      </c>
      <c r="E208" s="450" t="s">
        <v>1359</v>
      </c>
      <c r="F208" s="450" t="s">
        <v>2224</v>
      </c>
      <c r="G208" s="450" t="s">
        <v>1350</v>
      </c>
      <c r="H208" s="450" t="s">
        <v>1354</v>
      </c>
      <c r="I208" s="450" t="s">
        <v>1343</v>
      </c>
      <c r="J208" s="450"/>
      <c r="K208" s="647" t="s">
        <v>2228</v>
      </c>
      <c r="L208" s="641"/>
      <c r="M208" s="641"/>
      <c r="N208" s="641"/>
      <c r="O208" s="641">
        <f>+L208+M208-N208</f>
        <v>0</v>
      </c>
      <c r="P208" s="641"/>
      <c r="Q208" s="641"/>
      <c r="R208" s="641"/>
      <c r="S208" s="641"/>
      <c r="T208" s="641"/>
      <c r="U208" s="641"/>
      <c r="V208" s="648" t="e">
        <f t="shared" si="73"/>
        <v>#DIV/0!</v>
      </c>
      <c r="W208" s="644"/>
      <c r="X208" s="584" t="e">
        <f t="shared" si="71"/>
        <v>#DIV/0!</v>
      </c>
      <c r="Y208" s="584" t="e">
        <f t="shared" si="71"/>
        <v>#DIV/0!</v>
      </c>
      <c r="Z208" s="584" t="e">
        <f t="shared" si="71"/>
        <v>#DIV/0!</v>
      </c>
      <c r="AA208" s="584" t="e">
        <f t="shared" si="69"/>
        <v>#DIV/0!</v>
      </c>
    </row>
    <row r="209" spans="1:27" ht="22.5" hidden="1" customHeight="1" thickTop="1" thickBot="1" x14ac:dyDescent="0.3">
      <c r="A209" s="451">
        <v>1</v>
      </c>
      <c r="B209" s="451">
        <v>1</v>
      </c>
      <c r="C209" s="450" t="s">
        <v>1343</v>
      </c>
      <c r="D209" s="451">
        <v>2</v>
      </c>
      <c r="E209" s="450" t="s">
        <v>1359</v>
      </c>
      <c r="F209" s="450" t="s">
        <v>2224</v>
      </c>
      <c r="G209" s="450" t="s">
        <v>1350</v>
      </c>
      <c r="H209" s="450" t="s">
        <v>1354</v>
      </c>
      <c r="I209" s="450" t="s">
        <v>1413</v>
      </c>
      <c r="J209" s="450"/>
      <c r="K209" s="647" t="s">
        <v>2229</v>
      </c>
      <c r="L209" s="641"/>
      <c r="M209" s="641"/>
      <c r="N209" s="641"/>
      <c r="O209" s="641">
        <f>+L209+M209-N209</f>
        <v>0</v>
      </c>
      <c r="P209" s="641"/>
      <c r="Q209" s="641"/>
      <c r="R209" s="641"/>
      <c r="S209" s="641"/>
      <c r="T209" s="641"/>
      <c r="U209" s="641"/>
      <c r="V209" s="648" t="e">
        <f t="shared" si="73"/>
        <v>#DIV/0!</v>
      </c>
      <c r="W209" s="644"/>
      <c r="X209" s="584" t="e">
        <f t="shared" si="71"/>
        <v>#DIV/0!</v>
      </c>
      <c r="Y209" s="584" t="e">
        <f t="shared" si="71"/>
        <v>#DIV/0!</v>
      </c>
      <c r="Z209" s="584" t="e">
        <f t="shared" si="71"/>
        <v>#DIV/0!</v>
      </c>
      <c r="AA209" s="584" t="e">
        <f t="shared" si="69"/>
        <v>#DIV/0!</v>
      </c>
    </row>
    <row r="210" spans="1:27" ht="22.5" hidden="1" customHeight="1" thickTop="1" thickBot="1" x14ac:dyDescent="0.3">
      <c r="A210" s="451">
        <v>1</v>
      </c>
      <c r="B210" s="451">
        <v>1</v>
      </c>
      <c r="C210" s="450" t="s">
        <v>1343</v>
      </c>
      <c r="D210" s="451">
        <v>2</v>
      </c>
      <c r="E210" s="450" t="s">
        <v>1359</v>
      </c>
      <c r="F210" s="450" t="s">
        <v>2224</v>
      </c>
      <c r="G210" s="450" t="s">
        <v>1350</v>
      </c>
      <c r="H210" s="450" t="s">
        <v>1354</v>
      </c>
      <c r="I210" s="450" t="s">
        <v>2076</v>
      </c>
      <c r="J210" s="450"/>
      <c r="K210" s="647" t="s">
        <v>2230</v>
      </c>
      <c r="L210" s="641"/>
      <c r="M210" s="641"/>
      <c r="N210" s="641"/>
      <c r="O210" s="641">
        <f>+L210+M210-N210</f>
        <v>0</v>
      </c>
      <c r="P210" s="641"/>
      <c r="Q210" s="641"/>
      <c r="R210" s="641"/>
      <c r="S210" s="641"/>
      <c r="T210" s="641"/>
      <c r="U210" s="641"/>
      <c r="V210" s="648" t="e">
        <f t="shared" si="73"/>
        <v>#DIV/0!</v>
      </c>
      <c r="W210" s="644"/>
      <c r="X210" s="584" t="e">
        <f t="shared" si="71"/>
        <v>#DIV/0!</v>
      </c>
      <c r="Y210" s="584" t="e">
        <f t="shared" si="71"/>
        <v>#DIV/0!</v>
      </c>
      <c r="Z210" s="584" t="e">
        <f t="shared" si="71"/>
        <v>#DIV/0!</v>
      </c>
      <c r="AA210" s="584" t="e">
        <f t="shared" si="69"/>
        <v>#DIV/0!</v>
      </c>
    </row>
    <row r="211" spans="1:27" s="587" customFormat="1" ht="22.5" hidden="1" customHeight="1" thickTop="1" thickBot="1" x14ac:dyDescent="0.3">
      <c r="A211" s="633">
        <v>1</v>
      </c>
      <c r="B211" s="633">
        <v>1</v>
      </c>
      <c r="C211" s="524" t="s">
        <v>1343</v>
      </c>
      <c r="D211" s="633">
        <v>2</v>
      </c>
      <c r="E211" s="524" t="s">
        <v>1359</v>
      </c>
      <c r="F211" s="524" t="s">
        <v>2231</v>
      </c>
      <c r="G211" s="524"/>
      <c r="H211" s="524"/>
      <c r="I211" s="524"/>
      <c r="J211" s="524"/>
      <c r="K211" s="634" t="s">
        <v>2232</v>
      </c>
      <c r="L211" s="635">
        <f>+L212</f>
        <v>0</v>
      </c>
      <c r="M211" s="635">
        <f t="shared" ref="M211:U211" si="75">+M212</f>
        <v>0</v>
      </c>
      <c r="N211" s="635">
        <f t="shared" si="75"/>
        <v>0</v>
      </c>
      <c r="O211" s="635">
        <f t="shared" si="75"/>
        <v>0</v>
      </c>
      <c r="P211" s="635">
        <f t="shared" si="75"/>
        <v>0</v>
      </c>
      <c r="Q211" s="635">
        <f t="shared" si="75"/>
        <v>0</v>
      </c>
      <c r="R211" s="635">
        <f t="shared" si="75"/>
        <v>0</v>
      </c>
      <c r="S211" s="635">
        <f t="shared" si="75"/>
        <v>0</v>
      </c>
      <c r="T211" s="635">
        <f t="shared" si="75"/>
        <v>0</v>
      </c>
      <c r="U211" s="635">
        <f t="shared" si="75"/>
        <v>0</v>
      </c>
      <c r="V211" s="636" t="e">
        <f t="shared" si="73"/>
        <v>#DIV/0!</v>
      </c>
      <c r="W211" s="637"/>
      <c r="X211" s="587" t="e">
        <f t="shared" si="71"/>
        <v>#DIV/0!</v>
      </c>
      <c r="Y211" s="587" t="e">
        <f t="shared" si="71"/>
        <v>#DIV/0!</v>
      </c>
      <c r="Z211" s="587" t="e">
        <f t="shared" si="71"/>
        <v>#DIV/0!</v>
      </c>
      <c r="AA211" s="587" t="e">
        <f t="shared" si="69"/>
        <v>#DIV/0!</v>
      </c>
    </row>
    <row r="212" spans="1:27" s="587" customFormat="1" ht="22.5" hidden="1" customHeight="1" thickTop="1" thickBot="1" x14ac:dyDescent="0.3">
      <c r="A212" s="633">
        <v>1</v>
      </c>
      <c r="B212" s="633">
        <v>1</v>
      </c>
      <c r="C212" s="524" t="s">
        <v>1343</v>
      </c>
      <c r="D212" s="633">
        <v>2</v>
      </c>
      <c r="E212" s="524" t="s">
        <v>1359</v>
      </c>
      <c r="F212" s="524" t="s">
        <v>2231</v>
      </c>
      <c r="G212" s="524" t="s">
        <v>1345</v>
      </c>
      <c r="H212" s="524"/>
      <c r="I212" s="524"/>
      <c r="J212" s="524"/>
      <c r="K212" s="634" t="s">
        <v>2233</v>
      </c>
      <c r="L212" s="635">
        <f>+L213+L217+L221</f>
        <v>0</v>
      </c>
      <c r="M212" s="635">
        <f t="shared" ref="M212:U212" si="76">+M213+M217+M221</f>
        <v>0</v>
      </c>
      <c r="N212" s="635">
        <f t="shared" si="76"/>
        <v>0</v>
      </c>
      <c r="O212" s="635">
        <f t="shared" si="76"/>
        <v>0</v>
      </c>
      <c r="P212" s="635">
        <f t="shared" si="76"/>
        <v>0</v>
      </c>
      <c r="Q212" s="635">
        <f t="shared" si="76"/>
        <v>0</v>
      </c>
      <c r="R212" s="635">
        <f t="shared" si="76"/>
        <v>0</v>
      </c>
      <c r="S212" s="635">
        <f t="shared" si="76"/>
        <v>0</v>
      </c>
      <c r="T212" s="635">
        <f t="shared" si="76"/>
        <v>0</v>
      </c>
      <c r="U212" s="635">
        <f t="shared" si="76"/>
        <v>0</v>
      </c>
      <c r="V212" s="636" t="e">
        <f t="shared" si="73"/>
        <v>#DIV/0!</v>
      </c>
      <c r="W212" s="637"/>
      <c r="X212" s="587" t="e">
        <f t="shared" si="71"/>
        <v>#DIV/0!</v>
      </c>
      <c r="Y212" s="587" t="e">
        <f t="shared" si="71"/>
        <v>#DIV/0!</v>
      </c>
      <c r="Z212" s="587" t="e">
        <f t="shared" si="71"/>
        <v>#DIV/0!</v>
      </c>
      <c r="AA212" s="587" t="e">
        <f t="shared" si="69"/>
        <v>#DIV/0!</v>
      </c>
    </row>
    <row r="213" spans="1:27" s="587" customFormat="1" ht="22.5" hidden="1" customHeight="1" thickTop="1" thickBot="1" x14ac:dyDescent="0.3">
      <c r="A213" s="633">
        <v>1</v>
      </c>
      <c r="B213" s="633">
        <v>1</v>
      </c>
      <c r="C213" s="524" t="s">
        <v>1343</v>
      </c>
      <c r="D213" s="633">
        <v>2</v>
      </c>
      <c r="E213" s="524" t="s">
        <v>1359</v>
      </c>
      <c r="F213" s="524" t="s">
        <v>2231</v>
      </c>
      <c r="G213" s="524" t="s">
        <v>1345</v>
      </c>
      <c r="H213" s="524" t="s">
        <v>1345</v>
      </c>
      <c r="I213" s="524"/>
      <c r="J213" s="524"/>
      <c r="K213" s="634" t="s">
        <v>2234</v>
      </c>
      <c r="L213" s="635">
        <f>SUM(L214:L216)</f>
        <v>0</v>
      </c>
      <c r="M213" s="635">
        <f t="shared" ref="M213:U213" si="77">SUM(M214:M216)</f>
        <v>0</v>
      </c>
      <c r="N213" s="635">
        <f t="shared" si="77"/>
        <v>0</v>
      </c>
      <c r="O213" s="635">
        <f t="shared" si="77"/>
        <v>0</v>
      </c>
      <c r="P213" s="635">
        <f t="shared" si="77"/>
        <v>0</v>
      </c>
      <c r="Q213" s="635">
        <f t="shared" si="77"/>
        <v>0</v>
      </c>
      <c r="R213" s="635">
        <f t="shared" si="77"/>
        <v>0</v>
      </c>
      <c r="S213" s="635">
        <f t="shared" si="77"/>
        <v>0</v>
      </c>
      <c r="T213" s="635">
        <f t="shared" si="77"/>
        <v>0</v>
      </c>
      <c r="U213" s="635">
        <f t="shared" si="77"/>
        <v>0</v>
      </c>
      <c r="V213" s="636" t="e">
        <f t="shared" si="73"/>
        <v>#DIV/0!</v>
      </c>
      <c r="W213" s="637"/>
      <c r="X213" s="587" t="e">
        <f t="shared" si="71"/>
        <v>#DIV/0!</v>
      </c>
      <c r="Y213" s="587" t="e">
        <f t="shared" si="71"/>
        <v>#DIV/0!</v>
      </c>
      <c r="Z213" s="587" t="e">
        <f t="shared" si="71"/>
        <v>#DIV/0!</v>
      </c>
      <c r="AA213" s="587" t="e">
        <f t="shared" si="69"/>
        <v>#DIV/0!</v>
      </c>
    </row>
    <row r="214" spans="1:27" ht="22.5" hidden="1" customHeight="1" thickTop="1" thickBot="1" x14ac:dyDescent="0.3">
      <c r="A214" s="451">
        <v>1</v>
      </c>
      <c r="B214" s="451">
        <v>1</v>
      </c>
      <c r="C214" s="450" t="s">
        <v>1343</v>
      </c>
      <c r="D214" s="451">
        <v>2</v>
      </c>
      <c r="E214" s="450" t="s">
        <v>1359</v>
      </c>
      <c r="F214" s="450" t="s">
        <v>2231</v>
      </c>
      <c r="G214" s="450" t="s">
        <v>1345</v>
      </c>
      <c r="H214" s="450" t="s">
        <v>1345</v>
      </c>
      <c r="I214" s="450" t="s">
        <v>1343</v>
      </c>
      <c r="J214" s="450"/>
      <c r="K214" s="647" t="s">
        <v>2235</v>
      </c>
      <c r="L214" s="641"/>
      <c r="M214" s="641"/>
      <c r="N214" s="641"/>
      <c r="O214" s="641">
        <f>+L214+M214-N214</f>
        <v>0</v>
      </c>
      <c r="P214" s="641"/>
      <c r="Q214" s="641"/>
      <c r="R214" s="641"/>
      <c r="S214" s="641"/>
      <c r="T214" s="641"/>
      <c r="U214" s="641"/>
      <c r="V214" s="648" t="e">
        <f t="shared" si="73"/>
        <v>#DIV/0!</v>
      </c>
      <c r="W214" s="644"/>
      <c r="X214" s="584" t="e">
        <f t="shared" si="71"/>
        <v>#DIV/0!</v>
      </c>
      <c r="Y214" s="584" t="e">
        <f t="shared" si="71"/>
        <v>#DIV/0!</v>
      </c>
      <c r="Z214" s="584" t="e">
        <f t="shared" si="71"/>
        <v>#DIV/0!</v>
      </c>
      <c r="AA214" s="584" t="e">
        <f t="shared" si="69"/>
        <v>#DIV/0!</v>
      </c>
    </row>
    <row r="215" spans="1:27" ht="22.5" hidden="1" customHeight="1" thickTop="1" thickBot="1" x14ac:dyDescent="0.3">
      <c r="A215" s="451">
        <v>1</v>
      </c>
      <c r="B215" s="451">
        <v>1</v>
      </c>
      <c r="C215" s="450" t="s">
        <v>1343</v>
      </c>
      <c r="D215" s="451">
        <v>2</v>
      </c>
      <c r="E215" s="450" t="s">
        <v>1359</v>
      </c>
      <c r="F215" s="450" t="s">
        <v>2231</v>
      </c>
      <c r="G215" s="450" t="s">
        <v>1345</v>
      </c>
      <c r="H215" s="450" t="s">
        <v>1345</v>
      </c>
      <c r="I215" s="450" t="s">
        <v>1413</v>
      </c>
      <c r="J215" s="450"/>
      <c r="K215" s="647" t="s">
        <v>2236</v>
      </c>
      <c r="L215" s="641"/>
      <c r="M215" s="641"/>
      <c r="N215" s="641"/>
      <c r="O215" s="641">
        <f>+L215+M215-N215</f>
        <v>0</v>
      </c>
      <c r="P215" s="641"/>
      <c r="Q215" s="641"/>
      <c r="R215" s="641"/>
      <c r="S215" s="641"/>
      <c r="T215" s="641"/>
      <c r="U215" s="641"/>
      <c r="V215" s="648" t="e">
        <f t="shared" si="73"/>
        <v>#DIV/0!</v>
      </c>
      <c r="W215" s="644"/>
      <c r="X215" s="584" t="e">
        <f t="shared" si="71"/>
        <v>#DIV/0!</v>
      </c>
      <c r="Y215" s="584" t="e">
        <f t="shared" si="71"/>
        <v>#DIV/0!</v>
      </c>
      <c r="Z215" s="584" t="e">
        <f t="shared" si="71"/>
        <v>#DIV/0!</v>
      </c>
      <c r="AA215" s="584" t="e">
        <f t="shared" si="69"/>
        <v>#DIV/0!</v>
      </c>
    </row>
    <row r="216" spans="1:27" ht="22.5" hidden="1" customHeight="1" thickTop="1" thickBot="1" x14ac:dyDescent="0.3">
      <c r="A216" s="451">
        <v>1</v>
      </c>
      <c r="B216" s="451">
        <v>1</v>
      </c>
      <c r="C216" s="450" t="s">
        <v>1343</v>
      </c>
      <c r="D216" s="451">
        <v>2</v>
      </c>
      <c r="E216" s="450" t="s">
        <v>1359</v>
      </c>
      <c r="F216" s="450" t="s">
        <v>2231</v>
      </c>
      <c r="G216" s="450" t="s">
        <v>1345</v>
      </c>
      <c r="H216" s="450" t="s">
        <v>1345</v>
      </c>
      <c r="I216" s="450" t="s">
        <v>2076</v>
      </c>
      <c r="J216" s="450"/>
      <c r="K216" s="647" t="s">
        <v>2237</v>
      </c>
      <c r="L216" s="641"/>
      <c r="M216" s="641"/>
      <c r="N216" s="641"/>
      <c r="O216" s="641">
        <f>+L216+M216-N216</f>
        <v>0</v>
      </c>
      <c r="P216" s="641"/>
      <c r="Q216" s="641"/>
      <c r="R216" s="641"/>
      <c r="S216" s="641"/>
      <c r="T216" s="641"/>
      <c r="U216" s="641"/>
      <c r="V216" s="648" t="e">
        <f t="shared" si="73"/>
        <v>#DIV/0!</v>
      </c>
      <c r="W216" s="644"/>
      <c r="X216" s="584" t="e">
        <f t="shared" si="71"/>
        <v>#DIV/0!</v>
      </c>
      <c r="Y216" s="584" t="e">
        <f t="shared" si="71"/>
        <v>#DIV/0!</v>
      </c>
      <c r="Z216" s="584" t="e">
        <f t="shared" si="71"/>
        <v>#DIV/0!</v>
      </c>
      <c r="AA216" s="584" t="e">
        <f t="shared" si="69"/>
        <v>#DIV/0!</v>
      </c>
    </row>
    <row r="217" spans="1:27" s="587" customFormat="1" ht="22.5" hidden="1" customHeight="1" thickTop="1" thickBot="1" x14ac:dyDescent="0.3">
      <c r="A217" s="633">
        <v>1</v>
      </c>
      <c r="B217" s="633">
        <v>1</v>
      </c>
      <c r="C217" s="524" t="s">
        <v>1343</v>
      </c>
      <c r="D217" s="633">
        <v>2</v>
      </c>
      <c r="E217" s="524" t="s">
        <v>1359</v>
      </c>
      <c r="F217" s="524" t="s">
        <v>2231</v>
      </c>
      <c r="G217" s="524" t="s">
        <v>1345</v>
      </c>
      <c r="H217" s="524" t="s">
        <v>1350</v>
      </c>
      <c r="I217" s="524"/>
      <c r="J217" s="524"/>
      <c r="K217" s="634" t="s">
        <v>2238</v>
      </c>
      <c r="L217" s="635">
        <f>SUM(L218:L220)</f>
        <v>0</v>
      </c>
      <c r="M217" s="635">
        <f t="shared" ref="M217:U217" si="78">SUM(M218:M220)</f>
        <v>0</v>
      </c>
      <c r="N217" s="635">
        <f t="shared" si="78"/>
        <v>0</v>
      </c>
      <c r="O217" s="635">
        <f t="shared" si="78"/>
        <v>0</v>
      </c>
      <c r="P217" s="635">
        <f t="shared" si="78"/>
        <v>0</v>
      </c>
      <c r="Q217" s="635">
        <f t="shared" si="78"/>
        <v>0</v>
      </c>
      <c r="R217" s="635">
        <f t="shared" si="78"/>
        <v>0</v>
      </c>
      <c r="S217" s="635">
        <f t="shared" si="78"/>
        <v>0</v>
      </c>
      <c r="T217" s="635">
        <f t="shared" si="78"/>
        <v>0</v>
      </c>
      <c r="U217" s="635">
        <f t="shared" si="78"/>
        <v>0</v>
      </c>
      <c r="V217" s="636" t="e">
        <f t="shared" si="73"/>
        <v>#DIV/0!</v>
      </c>
      <c r="W217" s="637"/>
      <c r="X217" s="587" t="e">
        <f t="shared" si="71"/>
        <v>#DIV/0!</v>
      </c>
      <c r="Y217" s="587" t="e">
        <f t="shared" si="71"/>
        <v>#DIV/0!</v>
      </c>
      <c r="Z217" s="587" t="e">
        <f t="shared" si="71"/>
        <v>#DIV/0!</v>
      </c>
      <c r="AA217" s="587" t="e">
        <f t="shared" si="69"/>
        <v>#DIV/0!</v>
      </c>
    </row>
    <row r="218" spans="1:27" ht="22.5" hidden="1" customHeight="1" thickTop="1" thickBot="1" x14ac:dyDescent="0.3">
      <c r="A218" s="451">
        <v>1</v>
      </c>
      <c r="B218" s="451">
        <v>1</v>
      </c>
      <c r="C218" s="450" t="s">
        <v>1343</v>
      </c>
      <c r="D218" s="451">
        <v>2</v>
      </c>
      <c r="E218" s="450" t="s">
        <v>1359</v>
      </c>
      <c r="F218" s="450" t="s">
        <v>2231</v>
      </c>
      <c r="G218" s="450" t="s">
        <v>1345</v>
      </c>
      <c r="H218" s="450" t="s">
        <v>1350</v>
      </c>
      <c r="I218" s="450" t="s">
        <v>1343</v>
      </c>
      <c r="J218" s="450"/>
      <c r="K218" s="647" t="s">
        <v>2239</v>
      </c>
      <c r="L218" s="641"/>
      <c r="M218" s="641"/>
      <c r="N218" s="641"/>
      <c r="O218" s="641">
        <f>+L218+M218-N218</f>
        <v>0</v>
      </c>
      <c r="P218" s="641"/>
      <c r="Q218" s="641"/>
      <c r="R218" s="641"/>
      <c r="S218" s="641"/>
      <c r="T218" s="641"/>
      <c r="U218" s="641"/>
      <c r="V218" s="648" t="e">
        <f t="shared" si="73"/>
        <v>#DIV/0!</v>
      </c>
      <c r="W218" s="644"/>
      <c r="X218" s="584" t="e">
        <f t="shared" si="71"/>
        <v>#DIV/0!</v>
      </c>
      <c r="Y218" s="584" t="e">
        <f t="shared" si="71"/>
        <v>#DIV/0!</v>
      </c>
      <c r="Z218" s="584" t="e">
        <f t="shared" si="71"/>
        <v>#DIV/0!</v>
      </c>
      <c r="AA218" s="584" t="e">
        <f t="shared" si="69"/>
        <v>#DIV/0!</v>
      </c>
    </row>
    <row r="219" spans="1:27" ht="22.5" hidden="1" customHeight="1" thickTop="1" thickBot="1" x14ac:dyDescent="0.3">
      <c r="A219" s="451">
        <v>1</v>
      </c>
      <c r="B219" s="451">
        <v>1</v>
      </c>
      <c r="C219" s="450" t="s">
        <v>1343</v>
      </c>
      <c r="D219" s="451">
        <v>2</v>
      </c>
      <c r="E219" s="450" t="s">
        <v>1359</v>
      </c>
      <c r="F219" s="450" t="s">
        <v>2231</v>
      </c>
      <c r="G219" s="450" t="s">
        <v>1345</v>
      </c>
      <c r="H219" s="450" t="s">
        <v>1350</v>
      </c>
      <c r="I219" s="450" t="s">
        <v>1413</v>
      </c>
      <c r="J219" s="450"/>
      <c r="K219" s="647" t="s">
        <v>2240</v>
      </c>
      <c r="L219" s="641"/>
      <c r="M219" s="641"/>
      <c r="N219" s="641"/>
      <c r="O219" s="641">
        <f>+L219+M219-N219</f>
        <v>0</v>
      </c>
      <c r="P219" s="641"/>
      <c r="Q219" s="641"/>
      <c r="R219" s="641"/>
      <c r="S219" s="641"/>
      <c r="T219" s="641"/>
      <c r="U219" s="641"/>
      <c r="V219" s="648" t="e">
        <f t="shared" si="73"/>
        <v>#DIV/0!</v>
      </c>
      <c r="W219" s="644"/>
      <c r="X219" s="584" t="e">
        <f t="shared" si="71"/>
        <v>#DIV/0!</v>
      </c>
      <c r="Y219" s="584" t="e">
        <f t="shared" si="71"/>
        <v>#DIV/0!</v>
      </c>
      <c r="Z219" s="584" t="e">
        <f t="shared" si="71"/>
        <v>#DIV/0!</v>
      </c>
      <c r="AA219" s="584" t="e">
        <f t="shared" si="69"/>
        <v>#DIV/0!</v>
      </c>
    </row>
    <row r="220" spans="1:27" ht="22.5" hidden="1" customHeight="1" thickTop="1" thickBot="1" x14ac:dyDescent="0.3">
      <c r="A220" s="451">
        <v>1</v>
      </c>
      <c r="B220" s="451">
        <v>1</v>
      </c>
      <c r="C220" s="450" t="s">
        <v>1343</v>
      </c>
      <c r="D220" s="451">
        <v>2</v>
      </c>
      <c r="E220" s="450" t="s">
        <v>1359</v>
      </c>
      <c r="F220" s="450" t="s">
        <v>2231</v>
      </c>
      <c r="G220" s="450" t="s">
        <v>1345</v>
      </c>
      <c r="H220" s="450" t="s">
        <v>1350</v>
      </c>
      <c r="I220" s="450" t="s">
        <v>2076</v>
      </c>
      <c r="J220" s="450"/>
      <c r="K220" s="647" t="s">
        <v>2241</v>
      </c>
      <c r="L220" s="641"/>
      <c r="M220" s="641"/>
      <c r="N220" s="641"/>
      <c r="O220" s="641">
        <f>+L220+M220-N220</f>
        <v>0</v>
      </c>
      <c r="P220" s="641"/>
      <c r="Q220" s="641"/>
      <c r="R220" s="641"/>
      <c r="S220" s="641"/>
      <c r="T220" s="641"/>
      <c r="U220" s="641"/>
      <c r="V220" s="648" t="e">
        <f t="shared" si="73"/>
        <v>#DIV/0!</v>
      </c>
      <c r="W220" s="644"/>
      <c r="X220" s="584" t="e">
        <f t="shared" si="71"/>
        <v>#DIV/0!</v>
      </c>
      <c r="Y220" s="584" t="e">
        <f t="shared" si="71"/>
        <v>#DIV/0!</v>
      </c>
      <c r="Z220" s="584" t="e">
        <f t="shared" si="71"/>
        <v>#DIV/0!</v>
      </c>
      <c r="AA220" s="584" t="e">
        <f t="shared" si="69"/>
        <v>#DIV/0!</v>
      </c>
    </row>
    <row r="221" spans="1:27" s="587" customFormat="1" ht="22.5" hidden="1" customHeight="1" thickTop="1" thickBot="1" x14ac:dyDescent="0.3">
      <c r="A221" s="633">
        <v>1</v>
      </c>
      <c r="B221" s="633">
        <v>1</v>
      </c>
      <c r="C221" s="524" t="s">
        <v>1343</v>
      </c>
      <c r="D221" s="633">
        <v>2</v>
      </c>
      <c r="E221" s="524" t="s">
        <v>1359</v>
      </c>
      <c r="F221" s="524" t="s">
        <v>2231</v>
      </c>
      <c r="G221" s="524" t="s">
        <v>1345</v>
      </c>
      <c r="H221" s="524" t="s">
        <v>1354</v>
      </c>
      <c r="I221" s="524"/>
      <c r="J221" s="524"/>
      <c r="K221" s="634" t="s">
        <v>2242</v>
      </c>
      <c r="L221" s="635">
        <f>SUM(L222:L224)</f>
        <v>0</v>
      </c>
      <c r="M221" s="635">
        <f t="shared" ref="M221:U221" si="79">SUM(M222:M224)</f>
        <v>0</v>
      </c>
      <c r="N221" s="635">
        <f t="shared" si="79"/>
        <v>0</v>
      </c>
      <c r="O221" s="635">
        <f t="shared" si="79"/>
        <v>0</v>
      </c>
      <c r="P221" s="635">
        <f t="shared" si="79"/>
        <v>0</v>
      </c>
      <c r="Q221" s="635">
        <f t="shared" si="79"/>
        <v>0</v>
      </c>
      <c r="R221" s="635">
        <f t="shared" si="79"/>
        <v>0</v>
      </c>
      <c r="S221" s="635">
        <f t="shared" si="79"/>
        <v>0</v>
      </c>
      <c r="T221" s="635">
        <f t="shared" si="79"/>
        <v>0</v>
      </c>
      <c r="U221" s="635">
        <f t="shared" si="79"/>
        <v>0</v>
      </c>
      <c r="V221" s="636" t="e">
        <f t="shared" si="73"/>
        <v>#DIV/0!</v>
      </c>
      <c r="W221" s="637"/>
      <c r="X221" s="587" t="e">
        <f t="shared" si="71"/>
        <v>#DIV/0!</v>
      </c>
      <c r="Y221" s="587" t="e">
        <f t="shared" si="71"/>
        <v>#DIV/0!</v>
      </c>
      <c r="Z221" s="587" t="e">
        <f t="shared" si="71"/>
        <v>#DIV/0!</v>
      </c>
      <c r="AA221" s="587" t="e">
        <f t="shared" si="69"/>
        <v>#DIV/0!</v>
      </c>
    </row>
    <row r="222" spans="1:27" ht="22.5" hidden="1" customHeight="1" thickTop="1" thickBot="1" x14ac:dyDescent="0.3">
      <c r="A222" s="451">
        <v>1</v>
      </c>
      <c r="B222" s="451">
        <v>1</v>
      </c>
      <c r="C222" s="450" t="s">
        <v>1343</v>
      </c>
      <c r="D222" s="451">
        <v>2</v>
      </c>
      <c r="E222" s="450" t="s">
        <v>1359</v>
      </c>
      <c r="F222" s="450" t="s">
        <v>2231</v>
      </c>
      <c r="G222" s="450" t="s">
        <v>1345</v>
      </c>
      <c r="H222" s="450" t="s">
        <v>1354</v>
      </c>
      <c r="I222" s="450" t="s">
        <v>1343</v>
      </c>
      <c r="J222" s="450"/>
      <c r="K222" s="647" t="s">
        <v>2243</v>
      </c>
      <c r="L222" s="641"/>
      <c r="M222" s="641"/>
      <c r="N222" s="641"/>
      <c r="O222" s="641">
        <f>+L222+M222-N222</f>
        <v>0</v>
      </c>
      <c r="P222" s="641"/>
      <c r="Q222" s="641"/>
      <c r="R222" s="641"/>
      <c r="S222" s="641"/>
      <c r="T222" s="641"/>
      <c r="U222" s="641"/>
      <c r="V222" s="648" t="e">
        <f t="shared" si="73"/>
        <v>#DIV/0!</v>
      </c>
      <c r="W222" s="644"/>
      <c r="X222" s="584" t="e">
        <f t="shared" si="71"/>
        <v>#DIV/0!</v>
      </c>
      <c r="Y222" s="584" t="e">
        <f t="shared" si="71"/>
        <v>#DIV/0!</v>
      </c>
      <c r="Z222" s="584" t="e">
        <f t="shared" si="71"/>
        <v>#DIV/0!</v>
      </c>
      <c r="AA222" s="584" t="e">
        <f t="shared" si="69"/>
        <v>#DIV/0!</v>
      </c>
    </row>
    <row r="223" spans="1:27" ht="22.5" hidden="1" customHeight="1" thickTop="1" thickBot="1" x14ac:dyDescent="0.3">
      <c r="A223" s="451">
        <v>1</v>
      </c>
      <c r="B223" s="451">
        <v>1</v>
      </c>
      <c r="C223" s="450" t="s">
        <v>1343</v>
      </c>
      <c r="D223" s="451">
        <v>2</v>
      </c>
      <c r="E223" s="450" t="s">
        <v>1359</v>
      </c>
      <c r="F223" s="450" t="s">
        <v>2231</v>
      </c>
      <c r="G223" s="450" t="s">
        <v>1345</v>
      </c>
      <c r="H223" s="450" t="s">
        <v>1354</v>
      </c>
      <c r="I223" s="450" t="s">
        <v>1413</v>
      </c>
      <c r="J223" s="450"/>
      <c r="K223" s="647" t="s">
        <v>2244</v>
      </c>
      <c r="L223" s="641"/>
      <c r="M223" s="641"/>
      <c r="N223" s="641"/>
      <c r="O223" s="641">
        <f>+L223+M223-N223</f>
        <v>0</v>
      </c>
      <c r="P223" s="641"/>
      <c r="Q223" s="641"/>
      <c r="R223" s="641"/>
      <c r="S223" s="641"/>
      <c r="T223" s="641"/>
      <c r="U223" s="641"/>
      <c r="V223" s="648" t="e">
        <f t="shared" si="73"/>
        <v>#DIV/0!</v>
      </c>
      <c r="W223" s="644"/>
      <c r="X223" s="584" t="e">
        <f t="shared" si="71"/>
        <v>#DIV/0!</v>
      </c>
      <c r="Y223" s="584" t="e">
        <f t="shared" si="71"/>
        <v>#DIV/0!</v>
      </c>
      <c r="Z223" s="584" t="e">
        <f t="shared" si="71"/>
        <v>#DIV/0!</v>
      </c>
      <c r="AA223" s="584" t="e">
        <f t="shared" si="69"/>
        <v>#DIV/0!</v>
      </c>
    </row>
    <row r="224" spans="1:27" ht="22.5" hidden="1" customHeight="1" thickTop="1" thickBot="1" x14ac:dyDescent="0.3">
      <c r="A224" s="451">
        <v>1</v>
      </c>
      <c r="B224" s="451">
        <v>1</v>
      </c>
      <c r="C224" s="450" t="s">
        <v>1343</v>
      </c>
      <c r="D224" s="451">
        <v>2</v>
      </c>
      <c r="E224" s="450" t="s">
        <v>1359</v>
      </c>
      <c r="F224" s="450" t="s">
        <v>2231</v>
      </c>
      <c r="G224" s="450" t="s">
        <v>1345</v>
      </c>
      <c r="H224" s="450" t="s">
        <v>1354</v>
      </c>
      <c r="I224" s="450" t="s">
        <v>2076</v>
      </c>
      <c r="J224" s="450"/>
      <c r="K224" s="647" t="s">
        <v>2245</v>
      </c>
      <c r="L224" s="641"/>
      <c r="M224" s="641"/>
      <c r="N224" s="641"/>
      <c r="O224" s="641">
        <f>+L224+M224-N224</f>
        <v>0</v>
      </c>
      <c r="P224" s="641"/>
      <c r="Q224" s="641"/>
      <c r="R224" s="641"/>
      <c r="S224" s="641"/>
      <c r="T224" s="641"/>
      <c r="U224" s="641"/>
      <c r="V224" s="648" t="e">
        <f t="shared" si="73"/>
        <v>#DIV/0!</v>
      </c>
      <c r="W224" s="644"/>
      <c r="X224" s="584" t="e">
        <f t="shared" si="71"/>
        <v>#DIV/0!</v>
      </c>
      <c r="Y224" s="584" t="e">
        <f t="shared" si="71"/>
        <v>#DIV/0!</v>
      </c>
      <c r="Z224" s="584" t="e">
        <f t="shared" si="71"/>
        <v>#DIV/0!</v>
      </c>
      <c r="AA224" s="584" t="e">
        <f t="shared" si="69"/>
        <v>#DIV/0!</v>
      </c>
    </row>
    <row r="225" spans="1:27" s="587" customFormat="1" ht="22.5" hidden="1" customHeight="1" thickTop="1" thickBot="1" x14ac:dyDescent="0.3">
      <c r="A225" s="633">
        <v>1</v>
      </c>
      <c r="B225" s="633">
        <v>1</v>
      </c>
      <c r="C225" s="524" t="s">
        <v>1343</v>
      </c>
      <c r="D225" s="633">
        <v>2</v>
      </c>
      <c r="E225" s="524" t="s">
        <v>1359</v>
      </c>
      <c r="F225" s="524" t="s">
        <v>2246</v>
      </c>
      <c r="G225" s="524"/>
      <c r="H225" s="524"/>
      <c r="I225" s="524"/>
      <c r="J225" s="524"/>
      <c r="K225" s="634" t="s">
        <v>1400</v>
      </c>
      <c r="L225" s="635">
        <f>SUM(L226:L228)</f>
        <v>0</v>
      </c>
      <c r="M225" s="635">
        <f t="shared" ref="M225:U225" si="80">SUM(M226:M228)</f>
        <v>0</v>
      </c>
      <c r="N225" s="635">
        <f t="shared" si="80"/>
        <v>0</v>
      </c>
      <c r="O225" s="635">
        <f t="shared" si="80"/>
        <v>0</v>
      </c>
      <c r="P225" s="635">
        <f t="shared" si="80"/>
        <v>0</v>
      </c>
      <c r="Q225" s="635">
        <f t="shared" si="80"/>
        <v>0</v>
      </c>
      <c r="R225" s="635">
        <f t="shared" si="80"/>
        <v>0</v>
      </c>
      <c r="S225" s="635">
        <f t="shared" si="80"/>
        <v>0</v>
      </c>
      <c r="T225" s="635">
        <f t="shared" si="80"/>
        <v>0</v>
      </c>
      <c r="U225" s="635">
        <f t="shared" si="80"/>
        <v>0</v>
      </c>
      <c r="V225" s="636" t="e">
        <f t="shared" si="73"/>
        <v>#DIV/0!</v>
      </c>
      <c r="W225" s="637"/>
      <c r="X225" s="587" t="e">
        <f t="shared" si="71"/>
        <v>#DIV/0!</v>
      </c>
      <c r="Y225" s="587" t="e">
        <f t="shared" si="71"/>
        <v>#DIV/0!</v>
      </c>
      <c r="Z225" s="587" t="e">
        <f t="shared" si="71"/>
        <v>#DIV/0!</v>
      </c>
      <c r="AA225" s="587" t="e">
        <f t="shared" si="69"/>
        <v>#DIV/0!</v>
      </c>
    </row>
    <row r="226" spans="1:27" ht="22.5" hidden="1" customHeight="1" thickTop="1" thickBot="1" x14ac:dyDescent="0.3">
      <c r="A226" s="451">
        <v>1</v>
      </c>
      <c r="B226" s="451">
        <v>1</v>
      </c>
      <c r="C226" s="450" t="s">
        <v>1343</v>
      </c>
      <c r="D226" s="451">
        <v>2</v>
      </c>
      <c r="E226" s="450" t="s">
        <v>1359</v>
      </c>
      <c r="F226" s="450" t="s">
        <v>2246</v>
      </c>
      <c r="G226" s="450" t="s">
        <v>1343</v>
      </c>
      <c r="H226" s="450"/>
      <c r="I226" s="450"/>
      <c r="J226" s="450"/>
      <c r="K226" s="647" t="s">
        <v>2247</v>
      </c>
      <c r="L226" s="641"/>
      <c r="M226" s="641"/>
      <c r="N226" s="641"/>
      <c r="O226" s="641">
        <f>+L226+M226-N226</f>
        <v>0</v>
      </c>
      <c r="P226" s="641"/>
      <c r="Q226" s="641"/>
      <c r="R226" s="641"/>
      <c r="S226" s="641"/>
      <c r="T226" s="641"/>
      <c r="U226" s="641"/>
      <c r="V226" s="648" t="e">
        <f t="shared" si="73"/>
        <v>#DIV/0!</v>
      </c>
      <c r="W226" s="644"/>
      <c r="X226" s="584" t="e">
        <f t="shared" si="71"/>
        <v>#DIV/0!</v>
      </c>
      <c r="Y226" s="584" t="e">
        <f t="shared" si="71"/>
        <v>#DIV/0!</v>
      </c>
      <c r="Z226" s="584" t="e">
        <f t="shared" si="71"/>
        <v>#DIV/0!</v>
      </c>
      <c r="AA226" s="584" t="e">
        <f t="shared" si="69"/>
        <v>#DIV/0!</v>
      </c>
    </row>
    <row r="227" spans="1:27" ht="22.5" hidden="1" customHeight="1" thickTop="1" thickBot="1" x14ac:dyDescent="0.3">
      <c r="A227" s="451">
        <v>1</v>
      </c>
      <c r="B227" s="451">
        <v>1</v>
      </c>
      <c r="C227" s="450" t="s">
        <v>1343</v>
      </c>
      <c r="D227" s="451">
        <v>2</v>
      </c>
      <c r="E227" s="450" t="s">
        <v>1359</v>
      </c>
      <c r="F227" s="450" t="s">
        <v>2246</v>
      </c>
      <c r="G227" s="450" t="s">
        <v>1413</v>
      </c>
      <c r="H227" s="450"/>
      <c r="I227" s="450"/>
      <c r="J227" s="450"/>
      <c r="K227" s="647" t="s">
        <v>2248</v>
      </c>
      <c r="L227" s="641"/>
      <c r="M227" s="641"/>
      <c r="N227" s="641"/>
      <c r="O227" s="641">
        <f>+L227+M227-N227</f>
        <v>0</v>
      </c>
      <c r="P227" s="641"/>
      <c r="Q227" s="641"/>
      <c r="R227" s="641"/>
      <c r="S227" s="641"/>
      <c r="T227" s="641"/>
      <c r="U227" s="641"/>
      <c r="V227" s="648" t="e">
        <f t="shared" si="73"/>
        <v>#DIV/0!</v>
      </c>
      <c r="W227" s="644"/>
      <c r="X227" s="584" t="e">
        <f t="shared" si="71"/>
        <v>#DIV/0!</v>
      </c>
      <c r="Y227" s="584" t="e">
        <f t="shared" si="71"/>
        <v>#DIV/0!</v>
      </c>
      <c r="Z227" s="584" t="e">
        <f t="shared" si="71"/>
        <v>#DIV/0!</v>
      </c>
      <c r="AA227" s="584" t="e">
        <f t="shared" si="69"/>
        <v>#DIV/0!</v>
      </c>
    </row>
    <row r="228" spans="1:27" ht="22.5" hidden="1" customHeight="1" thickTop="1" thickBot="1" x14ac:dyDescent="0.3">
      <c r="A228" s="451">
        <v>1</v>
      </c>
      <c r="B228" s="451">
        <v>1</v>
      </c>
      <c r="C228" s="450" t="s">
        <v>1343</v>
      </c>
      <c r="D228" s="451">
        <v>2</v>
      </c>
      <c r="E228" s="450" t="s">
        <v>1359</v>
      </c>
      <c r="F228" s="450" t="s">
        <v>2246</v>
      </c>
      <c r="G228" s="450" t="s">
        <v>2076</v>
      </c>
      <c r="H228" s="450"/>
      <c r="I228" s="450"/>
      <c r="J228" s="450"/>
      <c r="K228" s="647" t="s">
        <v>2249</v>
      </c>
      <c r="L228" s="641"/>
      <c r="M228" s="641"/>
      <c r="N228" s="641"/>
      <c r="O228" s="641">
        <f>+L228+M228-N228</f>
        <v>0</v>
      </c>
      <c r="P228" s="641"/>
      <c r="Q228" s="641"/>
      <c r="R228" s="641"/>
      <c r="S228" s="641"/>
      <c r="T228" s="641"/>
      <c r="U228" s="641"/>
      <c r="V228" s="648" t="e">
        <f t="shared" si="73"/>
        <v>#DIV/0!</v>
      </c>
      <c r="W228" s="644"/>
      <c r="X228" s="584" t="e">
        <f t="shared" si="71"/>
        <v>#DIV/0!</v>
      </c>
      <c r="Y228" s="584" t="e">
        <f t="shared" si="71"/>
        <v>#DIV/0!</v>
      </c>
      <c r="Z228" s="584" t="e">
        <f t="shared" si="71"/>
        <v>#DIV/0!</v>
      </c>
      <c r="AA228" s="584" t="e">
        <f t="shared" si="69"/>
        <v>#DIV/0!</v>
      </c>
    </row>
    <row r="229" spans="1:27" s="587" customFormat="1" ht="22.5" hidden="1" customHeight="1" thickTop="1" thickBot="1" x14ac:dyDescent="0.3">
      <c r="A229" s="633">
        <v>1</v>
      </c>
      <c r="B229" s="633">
        <v>1</v>
      </c>
      <c r="C229" s="524" t="s">
        <v>1343</v>
      </c>
      <c r="D229" s="633">
        <v>2</v>
      </c>
      <c r="E229" s="524" t="s">
        <v>1359</v>
      </c>
      <c r="F229" s="524" t="s">
        <v>2250</v>
      </c>
      <c r="G229" s="524"/>
      <c r="H229" s="524"/>
      <c r="I229" s="524"/>
      <c r="J229" s="524"/>
      <c r="K229" s="634" t="s">
        <v>2251</v>
      </c>
      <c r="L229" s="635">
        <f>SUM(L230:L232)</f>
        <v>0</v>
      </c>
      <c r="M229" s="635">
        <f t="shared" ref="M229:U229" si="81">SUM(M230:M232)</f>
        <v>0</v>
      </c>
      <c r="N229" s="635">
        <f t="shared" si="81"/>
        <v>0</v>
      </c>
      <c r="O229" s="635">
        <f t="shared" si="81"/>
        <v>0</v>
      </c>
      <c r="P229" s="635">
        <f t="shared" si="81"/>
        <v>0</v>
      </c>
      <c r="Q229" s="635">
        <f t="shared" si="81"/>
        <v>0</v>
      </c>
      <c r="R229" s="635">
        <f t="shared" si="81"/>
        <v>0</v>
      </c>
      <c r="S229" s="635">
        <f t="shared" si="81"/>
        <v>0</v>
      </c>
      <c r="T229" s="635">
        <f t="shared" si="81"/>
        <v>0</v>
      </c>
      <c r="U229" s="635">
        <f t="shared" si="81"/>
        <v>0</v>
      </c>
      <c r="V229" s="636" t="e">
        <f t="shared" si="73"/>
        <v>#DIV/0!</v>
      </c>
      <c r="W229" s="637"/>
      <c r="X229" s="587" t="e">
        <f t="shared" si="71"/>
        <v>#DIV/0!</v>
      </c>
      <c r="Y229" s="587" t="e">
        <f t="shared" si="71"/>
        <v>#DIV/0!</v>
      </c>
      <c r="Z229" s="587" t="e">
        <f t="shared" si="71"/>
        <v>#DIV/0!</v>
      </c>
      <c r="AA229" s="587" t="e">
        <f t="shared" si="69"/>
        <v>#DIV/0!</v>
      </c>
    </row>
    <row r="230" spans="1:27" ht="22.5" hidden="1" customHeight="1" thickTop="1" thickBot="1" x14ac:dyDescent="0.3">
      <c r="A230" s="451">
        <v>1</v>
      </c>
      <c r="B230" s="451">
        <v>1</v>
      </c>
      <c r="C230" s="450" t="s">
        <v>1343</v>
      </c>
      <c r="D230" s="451">
        <v>2</v>
      </c>
      <c r="E230" s="450" t="s">
        <v>1359</v>
      </c>
      <c r="F230" s="450" t="s">
        <v>2250</v>
      </c>
      <c r="G230" s="450" t="s">
        <v>1343</v>
      </c>
      <c r="H230" s="450"/>
      <c r="I230" s="450"/>
      <c r="J230" s="450"/>
      <c r="K230" s="647" t="s">
        <v>2252</v>
      </c>
      <c r="L230" s="641"/>
      <c r="M230" s="641"/>
      <c r="N230" s="641"/>
      <c r="O230" s="641">
        <f>+L230+M230-N230</f>
        <v>0</v>
      </c>
      <c r="P230" s="641"/>
      <c r="Q230" s="641"/>
      <c r="R230" s="641"/>
      <c r="S230" s="641"/>
      <c r="T230" s="641"/>
      <c r="U230" s="641"/>
      <c r="V230" s="648" t="e">
        <f t="shared" si="73"/>
        <v>#DIV/0!</v>
      </c>
      <c r="W230" s="644"/>
      <c r="X230" s="584" t="e">
        <f t="shared" si="71"/>
        <v>#DIV/0!</v>
      </c>
      <c r="Y230" s="584" t="e">
        <f t="shared" si="71"/>
        <v>#DIV/0!</v>
      </c>
      <c r="Z230" s="584" t="e">
        <f t="shared" si="71"/>
        <v>#DIV/0!</v>
      </c>
      <c r="AA230" s="584" t="e">
        <f t="shared" si="69"/>
        <v>#DIV/0!</v>
      </c>
    </row>
    <row r="231" spans="1:27" ht="22.5" hidden="1" customHeight="1" thickTop="1" thickBot="1" x14ac:dyDescent="0.3">
      <c r="A231" s="451">
        <v>1</v>
      </c>
      <c r="B231" s="451">
        <v>1</v>
      </c>
      <c r="C231" s="450" t="s">
        <v>1343</v>
      </c>
      <c r="D231" s="451">
        <v>2</v>
      </c>
      <c r="E231" s="450" t="s">
        <v>1359</v>
      </c>
      <c r="F231" s="450" t="s">
        <v>2250</v>
      </c>
      <c r="G231" s="450" t="s">
        <v>1413</v>
      </c>
      <c r="H231" s="450"/>
      <c r="I231" s="450"/>
      <c r="J231" s="450"/>
      <c r="K231" s="647" t="s">
        <v>2253</v>
      </c>
      <c r="L231" s="641"/>
      <c r="M231" s="641"/>
      <c r="N231" s="641"/>
      <c r="O231" s="641">
        <f>+L231+M231-N231</f>
        <v>0</v>
      </c>
      <c r="P231" s="641"/>
      <c r="Q231" s="641"/>
      <c r="R231" s="641"/>
      <c r="S231" s="641"/>
      <c r="T231" s="641"/>
      <c r="U231" s="641"/>
      <c r="V231" s="648" t="e">
        <f t="shared" si="73"/>
        <v>#DIV/0!</v>
      </c>
      <c r="W231" s="644"/>
      <c r="X231" s="584" t="e">
        <f t="shared" si="71"/>
        <v>#DIV/0!</v>
      </c>
      <c r="Y231" s="584" t="e">
        <f t="shared" si="71"/>
        <v>#DIV/0!</v>
      </c>
      <c r="Z231" s="584" t="e">
        <f t="shared" si="71"/>
        <v>#DIV/0!</v>
      </c>
      <c r="AA231" s="584" t="e">
        <f t="shared" si="69"/>
        <v>#DIV/0!</v>
      </c>
    </row>
    <row r="232" spans="1:27" ht="22.5" hidden="1" customHeight="1" thickTop="1" thickBot="1" x14ac:dyDescent="0.3">
      <c r="A232" s="451">
        <v>1</v>
      </c>
      <c r="B232" s="451">
        <v>1</v>
      </c>
      <c r="C232" s="450" t="s">
        <v>1343</v>
      </c>
      <c r="D232" s="451">
        <v>2</v>
      </c>
      <c r="E232" s="450" t="s">
        <v>1359</v>
      </c>
      <c r="F232" s="450" t="s">
        <v>2250</v>
      </c>
      <c r="G232" s="450" t="s">
        <v>2076</v>
      </c>
      <c r="H232" s="450"/>
      <c r="I232" s="450"/>
      <c r="J232" s="450"/>
      <c r="K232" s="647" t="s">
        <v>2254</v>
      </c>
      <c r="L232" s="641"/>
      <c r="M232" s="641"/>
      <c r="N232" s="641"/>
      <c r="O232" s="641">
        <f>+L232+M232-N232</f>
        <v>0</v>
      </c>
      <c r="P232" s="641"/>
      <c r="Q232" s="641"/>
      <c r="R232" s="641"/>
      <c r="S232" s="641"/>
      <c r="T232" s="641"/>
      <c r="U232" s="641"/>
      <c r="V232" s="648" t="e">
        <f t="shared" si="73"/>
        <v>#DIV/0!</v>
      </c>
      <c r="W232" s="644"/>
      <c r="X232" s="584" t="e">
        <f t="shared" si="71"/>
        <v>#DIV/0!</v>
      </c>
      <c r="Y232" s="584" t="e">
        <f t="shared" si="71"/>
        <v>#DIV/0!</v>
      </c>
      <c r="Z232" s="584" t="e">
        <f t="shared" si="71"/>
        <v>#DIV/0!</v>
      </c>
      <c r="AA232" s="584" t="e">
        <f t="shared" si="69"/>
        <v>#DIV/0!</v>
      </c>
    </row>
    <row r="233" spans="1:27" s="610" customFormat="1" ht="22.5" customHeight="1" thickTop="1" thickBot="1" x14ac:dyDescent="0.3">
      <c r="A233" s="603">
        <v>1</v>
      </c>
      <c r="B233" s="604" t="s">
        <v>1343</v>
      </c>
      <c r="C233" s="604" t="s">
        <v>1413</v>
      </c>
      <c r="D233" s="604"/>
      <c r="E233" s="604"/>
      <c r="F233" s="604"/>
      <c r="G233" s="604"/>
      <c r="H233" s="604"/>
      <c r="I233" s="604"/>
      <c r="J233" s="604"/>
      <c r="K233" s="605" t="s">
        <v>1380</v>
      </c>
      <c r="L233" s="606">
        <f t="shared" ref="L233:U233" si="82">+L234+L293+L314+L351+L369+L384+L402+L408+L508</f>
        <v>45217073644</v>
      </c>
      <c r="M233" s="606">
        <f t="shared" si="82"/>
        <v>80061693</v>
      </c>
      <c r="N233" s="606">
        <f t="shared" si="82"/>
        <v>0</v>
      </c>
      <c r="O233" s="606">
        <f t="shared" si="82"/>
        <v>45297135337</v>
      </c>
      <c r="P233" s="606">
        <f t="shared" si="82"/>
        <v>0</v>
      </c>
      <c r="Q233" s="606">
        <f t="shared" si="82"/>
        <v>45296209270</v>
      </c>
      <c r="R233" s="606">
        <f t="shared" si="82"/>
        <v>926067.00000000012</v>
      </c>
      <c r="S233" s="606">
        <f t="shared" si="82"/>
        <v>0</v>
      </c>
      <c r="T233" s="606">
        <f t="shared" si="82"/>
        <v>29756755241</v>
      </c>
      <c r="U233" s="606">
        <f t="shared" si="82"/>
        <v>29836533460</v>
      </c>
      <c r="V233" s="607">
        <f t="shared" si="73"/>
        <v>1.0026810120375651</v>
      </c>
      <c r="W233" s="608"/>
      <c r="X233" s="609">
        <f t="shared" si="71"/>
        <v>0</v>
      </c>
      <c r="Y233" s="609">
        <f t="shared" si="71"/>
        <v>0.99997955572702091</v>
      </c>
      <c r="Z233" s="609">
        <f t="shared" si="71"/>
        <v>2.0444272979080908E-5</v>
      </c>
      <c r="AA233" s="609">
        <f t="shared" si="69"/>
        <v>0</v>
      </c>
    </row>
    <row r="234" spans="1:27" s="617" customFormat="1" ht="22.5" hidden="1" customHeight="1" thickTop="1" thickBot="1" x14ac:dyDescent="0.3">
      <c r="A234" s="611">
        <v>1</v>
      </c>
      <c r="B234" s="611">
        <v>1</v>
      </c>
      <c r="C234" s="448" t="s">
        <v>1413</v>
      </c>
      <c r="D234" s="448" t="s">
        <v>1345</v>
      </c>
      <c r="E234" s="448"/>
      <c r="F234" s="448"/>
      <c r="G234" s="448"/>
      <c r="H234" s="448"/>
      <c r="I234" s="448"/>
      <c r="J234" s="448"/>
      <c r="K234" s="612" t="s">
        <v>1381</v>
      </c>
      <c r="L234" s="613">
        <f>+L235+L252</f>
        <v>0</v>
      </c>
      <c r="M234" s="613">
        <f t="shared" ref="M234:U234" si="83">+M235+M252</f>
        <v>0</v>
      </c>
      <c r="N234" s="613">
        <f t="shared" si="83"/>
        <v>0</v>
      </c>
      <c r="O234" s="613">
        <f t="shared" si="83"/>
        <v>0</v>
      </c>
      <c r="P234" s="613">
        <f t="shared" si="83"/>
        <v>0</v>
      </c>
      <c r="Q234" s="613">
        <f t="shared" si="83"/>
        <v>0</v>
      </c>
      <c r="R234" s="613">
        <f t="shared" si="83"/>
        <v>0</v>
      </c>
      <c r="S234" s="613">
        <f t="shared" si="83"/>
        <v>0</v>
      </c>
      <c r="T234" s="613">
        <f t="shared" si="83"/>
        <v>0</v>
      </c>
      <c r="U234" s="613">
        <f t="shared" si="83"/>
        <v>0</v>
      </c>
      <c r="V234" s="614" t="e">
        <f t="shared" si="73"/>
        <v>#DIV/0!</v>
      </c>
      <c r="W234" s="615"/>
      <c r="X234" s="617" t="e">
        <f t="shared" si="71"/>
        <v>#DIV/0!</v>
      </c>
      <c r="Y234" s="617" t="e">
        <f t="shared" si="71"/>
        <v>#DIV/0!</v>
      </c>
      <c r="Z234" s="617" t="e">
        <f t="shared" si="71"/>
        <v>#DIV/0!</v>
      </c>
      <c r="AA234" s="617" t="e">
        <f t="shared" si="69"/>
        <v>#DIV/0!</v>
      </c>
    </row>
    <row r="235" spans="1:27" s="625" customFormat="1" ht="22.5" hidden="1" customHeight="1" thickTop="1" thickBot="1" x14ac:dyDescent="0.3">
      <c r="A235" s="618">
        <v>1</v>
      </c>
      <c r="B235" s="618">
        <v>1</v>
      </c>
      <c r="C235" s="619" t="s">
        <v>1413</v>
      </c>
      <c r="D235" s="619" t="s">
        <v>1345</v>
      </c>
      <c r="E235" s="619" t="s">
        <v>1345</v>
      </c>
      <c r="F235" s="619"/>
      <c r="G235" s="619"/>
      <c r="H235" s="619"/>
      <c r="I235" s="619"/>
      <c r="J235" s="619"/>
      <c r="K235" s="620" t="s">
        <v>2255</v>
      </c>
      <c r="L235" s="621">
        <f>+L236+L240+L244+L248</f>
        <v>0</v>
      </c>
      <c r="M235" s="621">
        <f t="shared" ref="M235:U235" si="84">+M236+M240+M244+M248</f>
        <v>0</v>
      </c>
      <c r="N235" s="621">
        <f t="shared" si="84"/>
        <v>0</v>
      </c>
      <c r="O235" s="621">
        <f t="shared" si="84"/>
        <v>0</v>
      </c>
      <c r="P235" s="621">
        <f t="shared" si="84"/>
        <v>0</v>
      </c>
      <c r="Q235" s="621">
        <f t="shared" si="84"/>
        <v>0</v>
      </c>
      <c r="R235" s="621">
        <f t="shared" si="84"/>
        <v>0</v>
      </c>
      <c r="S235" s="621">
        <f t="shared" si="84"/>
        <v>0</v>
      </c>
      <c r="T235" s="621">
        <f t="shared" si="84"/>
        <v>0</v>
      </c>
      <c r="U235" s="621">
        <f t="shared" si="84"/>
        <v>0</v>
      </c>
      <c r="V235" s="622" t="e">
        <f t="shared" si="73"/>
        <v>#DIV/0!</v>
      </c>
      <c r="W235" s="623"/>
      <c r="X235" s="625" t="e">
        <f t="shared" si="71"/>
        <v>#DIV/0!</v>
      </c>
      <c r="Y235" s="625" t="e">
        <f t="shared" si="71"/>
        <v>#DIV/0!</v>
      </c>
      <c r="Z235" s="625" t="e">
        <f t="shared" si="71"/>
        <v>#DIV/0!</v>
      </c>
      <c r="AA235" s="625" t="e">
        <f t="shared" si="69"/>
        <v>#DIV/0!</v>
      </c>
    </row>
    <row r="236" spans="1:27" s="632" customFormat="1" ht="22.5" hidden="1" customHeight="1" thickTop="1" thickBot="1" x14ac:dyDescent="0.3">
      <c r="A236" s="626">
        <v>1</v>
      </c>
      <c r="B236" s="626">
        <v>1</v>
      </c>
      <c r="C236" s="449" t="s">
        <v>1413</v>
      </c>
      <c r="D236" s="449" t="s">
        <v>1345</v>
      </c>
      <c r="E236" s="449" t="s">
        <v>1345</v>
      </c>
      <c r="F236" s="449" t="s">
        <v>2138</v>
      </c>
      <c r="G236" s="449"/>
      <c r="H236" s="449"/>
      <c r="I236" s="449"/>
      <c r="J236" s="449"/>
      <c r="K236" s="627" t="s">
        <v>309</v>
      </c>
      <c r="L236" s="628">
        <f>SUM(L237:L239)</f>
        <v>0</v>
      </c>
      <c r="M236" s="628">
        <f t="shared" ref="M236:U236" si="85">SUM(M237:M239)</f>
        <v>0</v>
      </c>
      <c r="N236" s="628">
        <f t="shared" si="85"/>
        <v>0</v>
      </c>
      <c r="O236" s="628">
        <f t="shared" si="85"/>
        <v>0</v>
      </c>
      <c r="P236" s="628">
        <f t="shared" si="85"/>
        <v>0</v>
      </c>
      <c r="Q236" s="628">
        <f t="shared" si="85"/>
        <v>0</v>
      </c>
      <c r="R236" s="628">
        <f t="shared" si="85"/>
        <v>0</v>
      </c>
      <c r="S236" s="628">
        <f t="shared" si="85"/>
        <v>0</v>
      </c>
      <c r="T236" s="628">
        <f t="shared" si="85"/>
        <v>0</v>
      </c>
      <c r="U236" s="628">
        <f t="shared" si="85"/>
        <v>0</v>
      </c>
      <c r="V236" s="629" t="e">
        <f t="shared" si="73"/>
        <v>#DIV/0!</v>
      </c>
      <c r="W236" s="630"/>
      <c r="X236" s="632" t="e">
        <f t="shared" si="71"/>
        <v>#DIV/0!</v>
      </c>
      <c r="Y236" s="632" t="e">
        <f t="shared" si="71"/>
        <v>#DIV/0!</v>
      </c>
      <c r="Z236" s="632" t="e">
        <f t="shared" si="71"/>
        <v>#DIV/0!</v>
      </c>
      <c r="AA236" s="632" t="e">
        <f t="shared" si="69"/>
        <v>#DIV/0!</v>
      </c>
    </row>
    <row r="237" spans="1:27" ht="22.5" hidden="1" customHeight="1" thickTop="1" thickBot="1" x14ac:dyDescent="0.3">
      <c r="A237" s="451">
        <v>1</v>
      </c>
      <c r="B237" s="451">
        <v>1</v>
      </c>
      <c r="C237" s="450" t="s">
        <v>1413</v>
      </c>
      <c r="D237" s="450" t="s">
        <v>1345</v>
      </c>
      <c r="E237" s="450" t="s">
        <v>1345</v>
      </c>
      <c r="F237" s="450" t="s">
        <v>2138</v>
      </c>
      <c r="G237" s="450" t="s">
        <v>1343</v>
      </c>
      <c r="H237" s="450"/>
      <c r="I237" s="450"/>
      <c r="J237" s="450"/>
      <c r="K237" s="647" t="s">
        <v>2256</v>
      </c>
      <c r="L237" s="641"/>
      <c r="M237" s="641"/>
      <c r="N237" s="641"/>
      <c r="O237" s="641">
        <f>+L237+M237-N237</f>
        <v>0</v>
      </c>
      <c r="P237" s="641"/>
      <c r="Q237" s="641"/>
      <c r="R237" s="641"/>
      <c r="S237" s="641"/>
      <c r="T237" s="641"/>
      <c r="U237" s="641"/>
      <c r="V237" s="648" t="e">
        <f t="shared" si="73"/>
        <v>#DIV/0!</v>
      </c>
      <c r="W237" s="644"/>
      <c r="X237" s="584" t="e">
        <f t="shared" si="71"/>
        <v>#DIV/0!</v>
      </c>
      <c r="Y237" s="584" t="e">
        <f t="shared" si="71"/>
        <v>#DIV/0!</v>
      </c>
      <c r="Z237" s="584" t="e">
        <f t="shared" si="71"/>
        <v>#DIV/0!</v>
      </c>
      <c r="AA237" s="584" t="e">
        <f t="shared" si="69"/>
        <v>#DIV/0!</v>
      </c>
    </row>
    <row r="238" spans="1:27" ht="22.5" hidden="1" customHeight="1" thickTop="1" thickBot="1" x14ac:dyDescent="0.3">
      <c r="A238" s="451">
        <v>1</v>
      </c>
      <c r="B238" s="451">
        <v>1</v>
      </c>
      <c r="C238" s="450" t="s">
        <v>1413</v>
      </c>
      <c r="D238" s="450" t="s">
        <v>1345</v>
      </c>
      <c r="E238" s="450" t="s">
        <v>1345</v>
      </c>
      <c r="F238" s="450" t="s">
        <v>2138</v>
      </c>
      <c r="G238" s="450" t="s">
        <v>1413</v>
      </c>
      <c r="H238" s="450"/>
      <c r="I238" s="450"/>
      <c r="J238" s="450"/>
      <c r="K238" s="647" t="s">
        <v>2257</v>
      </c>
      <c r="L238" s="641"/>
      <c r="M238" s="641"/>
      <c r="N238" s="641"/>
      <c r="O238" s="641">
        <f>+L238+M238-N238</f>
        <v>0</v>
      </c>
      <c r="P238" s="641"/>
      <c r="Q238" s="641"/>
      <c r="R238" s="641"/>
      <c r="S238" s="641"/>
      <c r="T238" s="641"/>
      <c r="U238" s="641"/>
      <c r="V238" s="648" t="e">
        <f t="shared" si="73"/>
        <v>#DIV/0!</v>
      </c>
      <c r="W238" s="644"/>
      <c r="X238" s="584" t="e">
        <f t="shared" si="71"/>
        <v>#DIV/0!</v>
      </c>
      <c r="Y238" s="584" t="e">
        <f t="shared" si="71"/>
        <v>#DIV/0!</v>
      </c>
      <c r="Z238" s="584" t="e">
        <f t="shared" si="71"/>
        <v>#DIV/0!</v>
      </c>
      <c r="AA238" s="584" t="e">
        <f t="shared" si="69"/>
        <v>#DIV/0!</v>
      </c>
    </row>
    <row r="239" spans="1:27" ht="22.5" hidden="1" customHeight="1" thickTop="1" thickBot="1" x14ac:dyDescent="0.3">
      <c r="A239" s="451">
        <v>1</v>
      </c>
      <c r="B239" s="451">
        <v>1</v>
      </c>
      <c r="C239" s="450" t="s">
        <v>1413</v>
      </c>
      <c r="D239" s="450" t="s">
        <v>1345</v>
      </c>
      <c r="E239" s="450" t="s">
        <v>1345</v>
      </c>
      <c r="F239" s="450" t="s">
        <v>2138</v>
      </c>
      <c r="G239" s="450" t="s">
        <v>2076</v>
      </c>
      <c r="H239" s="450"/>
      <c r="I239" s="450"/>
      <c r="J239" s="450"/>
      <c r="K239" s="647" t="s">
        <v>2258</v>
      </c>
      <c r="L239" s="641"/>
      <c r="M239" s="641"/>
      <c r="N239" s="641"/>
      <c r="O239" s="641">
        <f>+L239+M239-N239</f>
        <v>0</v>
      </c>
      <c r="P239" s="641"/>
      <c r="Q239" s="641"/>
      <c r="R239" s="641"/>
      <c r="S239" s="641"/>
      <c r="T239" s="641"/>
      <c r="U239" s="641"/>
      <c r="V239" s="648" t="e">
        <f t="shared" si="73"/>
        <v>#DIV/0!</v>
      </c>
      <c r="W239" s="644"/>
      <c r="X239" s="584" t="e">
        <f t="shared" si="71"/>
        <v>#DIV/0!</v>
      </c>
      <c r="Y239" s="584" t="e">
        <f t="shared" si="71"/>
        <v>#DIV/0!</v>
      </c>
      <c r="Z239" s="584" t="e">
        <f t="shared" si="71"/>
        <v>#DIV/0!</v>
      </c>
      <c r="AA239" s="584" t="e">
        <f t="shared" si="69"/>
        <v>#DIV/0!</v>
      </c>
    </row>
    <row r="240" spans="1:27" s="632" customFormat="1" ht="22.5" hidden="1" customHeight="1" thickTop="1" thickBot="1" x14ac:dyDescent="0.3">
      <c r="A240" s="626">
        <v>1</v>
      </c>
      <c r="B240" s="626">
        <v>1</v>
      </c>
      <c r="C240" s="449" t="s">
        <v>1413</v>
      </c>
      <c r="D240" s="449" t="s">
        <v>1345</v>
      </c>
      <c r="E240" s="449" t="s">
        <v>1345</v>
      </c>
      <c r="F240" s="449" t="s">
        <v>2160</v>
      </c>
      <c r="G240" s="449"/>
      <c r="H240" s="449"/>
      <c r="I240" s="449"/>
      <c r="J240" s="449"/>
      <c r="K240" s="627" t="s">
        <v>2259</v>
      </c>
      <c r="L240" s="628">
        <f>SUM(L241:L243)</f>
        <v>0</v>
      </c>
      <c r="M240" s="628">
        <f t="shared" ref="M240:U240" si="86">SUM(M241:M243)</f>
        <v>0</v>
      </c>
      <c r="N240" s="628">
        <f t="shared" si="86"/>
        <v>0</v>
      </c>
      <c r="O240" s="628">
        <f t="shared" si="86"/>
        <v>0</v>
      </c>
      <c r="P240" s="628">
        <f t="shared" si="86"/>
        <v>0</v>
      </c>
      <c r="Q240" s="628">
        <f t="shared" si="86"/>
        <v>0</v>
      </c>
      <c r="R240" s="628">
        <f t="shared" si="86"/>
        <v>0</v>
      </c>
      <c r="S240" s="628">
        <f t="shared" si="86"/>
        <v>0</v>
      </c>
      <c r="T240" s="628">
        <f t="shared" si="86"/>
        <v>0</v>
      </c>
      <c r="U240" s="628">
        <f t="shared" si="86"/>
        <v>0</v>
      </c>
      <c r="V240" s="629" t="e">
        <f t="shared" si="73"/>
        <v>#DIV/0!</v>
      </c>
      <c r="W240" s="630"/>
      <c r="X240" s="632" t="e">
        <f t="shared" si="71"/>
        <v>#DIV/0!</v>
      </c>
      <c r="Y240" s="632" t="e">
        <f t="shared" si="71"/>
        <v>#DIV/0!</v>
      </c>
      <c r="Z240" s="632" t="e">
        <f t="shared" si="71"/>
        <v>#DIV/0!</v>
      </c>
      <c r="AA240" s="632" t="e">
        <f t="shared" si="69"/>
        <v>#DIV/0!</v>
      </c>
    </row>
    <row r="241" spans="1:27" ht="22.5" hidden="1" customHeight="1" thickTop="1" thickBot="1" x14ac:dyDescent="0.3">
      <c r="A241" s="451">
        <v>1</v>
      </c>
      <c r="B241" s="451">
        <v>1</v>
      </c>
      <c r="C241" s="450" t="s">
        <v>1413</v>
      </c>
      <c r="D241" s="450" t="s">
        <v>1345</v>
      </c>
      <c r="E241" s="450" t="s">
        <v>1345</v>
      </c>
      <c r="F241" s="450" t="s">
        <v>2160</v>
      </c>
      <c r="G241" s="450" t="s">
        <v>1343</v>
      </c>
      <c r="H241" s="450"/>
      <c r="I241" s="450"/>
      <c r="J241" s="450"/>
      <c r="K241" s="647" t="s">
        <v>2260</v>
      </c>
      <c r="L241" s="641"/>
      <c r="M241" s="641"/>
      <c r="N241" s="641"/>
      <c r="O241" s="641">
        <f>+L241+M241-N241</f>
        <v>0</v>
      </c>
      <c r="P241" s="641"/>
      <c r="Q241" s="641"/>
      <c r="R241" s="641"/>
      <c r="S241" s="641"/>
      <c r="T241" s="641"/>
      <c r="U241" s="641"/>
      <c r="V241" s="648" t="e">
        <f t="shared" si="73"/>
        <v>#DIV/0!</v>
      </c>
      <c r="W241" s="644"/>
      <c r="X241" s="584" t="e">
        <f t="shared" si="71"/>
        <v>#DIV/0!</v>
      </c>
      <c r="Y241" s="584" t="e">
        <f t="shared" si="71"/>
        <v>#DIV/0!</v>
      </c>
      <c r="Z241" s="584" t="e">
        <f t="shared" si="71"/>
        <v>#DIV/0!</v>
      </c>
      <c r="AA241" s="584" t="e">
        <f t="shared" si="69"/>
        <v>#DIV/0!</v>
      </c>
    </row>
    <row r="242" spans="1:27" ht="22.5" hidden="1" customHeight="1" thickTop="1" thickBot="1" x14ac:dyDescent="0.3">
      <c r="A242" s="451">
        <v>1</v>
      </c>
      <c r="B242" s="451">
        <v>1</v>
      </c>
      <c r="C242" s="450" t="s">
        <v>1413</v>
      </c>
      <c r="D242" s="450" t="s">
        <v>1345</v>
      </c>
      <c r="E242" s="450" t="s">
        <v>1345</v>
      </c>
      <c r="F242" s="450" t="s">
        <v>2160</v>
      </c>
      <c r="G242" s="450" t="s">
        <v>1413</v>
      </c>
      <c r="H242" s="450"/>
      <c r="I242" s="450"/>
      <c r="J242" s="450"/>
      <c r="K242" s="647" t="s">
        <v>2261</v>
      </c>
      <c r="L242" s="641"/>
      <c r="M242" s="641"/>
      <c r="N242" s="641"/>
      <c r="O242" s="641">
        <f>+L242+M242-N242</f>
        <v>0</v>
      </c>
      <c r="P242" s="641"/>
      <c r="Q242" s="641"/>
      <c r="R242" s="641"/>
      <c r="S242" s="641"/>
      <c r="T242" s="641"/>
      <c r="U242" s="641"/>
      <c r="V242" s="648" t="e">
        <f t="shared" si="73"/>
        <v>#DIV/0!</v>
      </c>
      <c r="W242" s="644"/>
      <c r="X242" s="584" t="e">
        <f t="shared" si="71"/>
        <v>#DIV/0!</v>
      </c>
      <c r="Y242" s="584" t="e">
        <f t="shared" si="71"/>
        <v>#DIV/0!</v>
      </c>
      <c r="Z242" s="584" t="e">
        <f t="shared" si="71"/>
        <v>#DIV/0!</v>
      </c>
      <c r="AA242" s="584" t="e">
        <f t="shared" si="69"/>
        <v>#DIV/0!</v>
      </c>
    </row>
    <row r="243" spans="1:27" ht="22.5" hidden="1" customHeight="1" thickTop="1" thickBot="1" x14ac:dyDescent="0.3">
      <c r="A243" s="451">
        <v>1</v>
      </c>
      <c r="B243" s="451">
        <v>1</v>
      </c>
      <c r="C243" s="450" t="s">
        <v>1413</v>
      </c>
      <c r="D243" s="450" t="s">
        <v>1345</v>
      </c>
      <c r="E243" s="450" t="s">
        <v>1345</v>
      </c>
      <c r="F243" s="450" t="s">
        <v>2160</v>
      </c>
      <c r="G243" s="450" t="s">
        <v>2076</v>
      </c>
      <c r="H243" s="450"/>
      <c r="I243" s="450"/>
      <c r="J243" s="450"/>
      <c r="K243" s="647" t="s">
        <v>2262</v>
      </c>
      <c r="L243" s="641"/>
      <c r="M243" s="641"/>
      <c r="N243" s="641"/>
      <c r="O243" s="641">
        <f>+L243+M243-N243</f>
        <v>0</v>
      </c>
      <c r="P243" s="641"/>
      <c r="Q243" s="641"/>
      <c r="R243" s="641"/>
      <c r="S243" s="641"/>
      <c r="T243" s="641"/>
      <c r="U243" s="641"/>
      <c r="V243" s="648" t="e">
        <f t="shared" si="73"/>
        <v>#DIV/0!</v>
      </c>
      <c r="W243" s="644"/>
      <c r="X243" s="584" t="e">
        <f t="shared" si="71"/>
        <v>#DIV/0!</v>
      </c>
      <c r="Y243" s="584" t="e">
        <f t="shared" si="71"/>
        <v>#DIV/0!</v>
      </c>
      <c r="Z243" s="584" t="e">
        <f t="shared" si="71"/>
        <v>#DIV/0!</v>
      </c>
      <c r="AA243" s="584" t="e">
        <f t="shared" si="69"/>
        <v>#DIV/0!</v>
      </c>
    </row>
    <row r="244" spans="1:27" s="632" customFormat="1" ht="22.5" hidden="1" customHeight="1" thickTop="1" thickBot="1" x14ac:dyDescent="0.3">
      <c r="A244" s="626">
        <v>1</v>
      </c>
      <c r="B244" s="626">
        <v>1</v>
      </c>
      <c r="C244" s="449" t="s">
        <v>1413</v>
      </c>
      <c r="D244" s="449" t="s">
        <v>1345</v>
      </c>
      <c r="E244" s="449" t="s">
        <v>1345</v>
      </c>
      <c r="F244" s="449" t="s">
        <v>2214</v>
      </c>
      <c r="G244" s="449"/>
      <c r="H244" s="449"/>
      <c r="I244" s="449"/>
      <c r="J244" s="449"/>
      <c r="K244" s="627" t="s">
        <v>2263</v>
      </c>
      <c r="L244" s="628">
        <f>SUM(L245:L247)</f>
        <v>0</v>
      </c>
      <c r="M244" s="628">
        <f t="shared" ref="M244:U244" si="87">SUM(M245:M247)</f>
        <v>0</v>
      </c>
      <c r="N244" s="628">
        <f t="shared" si="87"/>
        <v>0</v>
      </c>
      <c r="O244" s="628">
        <f t="shared" si="87"/>
        <v>0</v>
      </c>
      <c r="P244" s="628">
        <f t="shared" si="87"/>
        <v>0</v>
      </c>
      <c r="Q244" s="628">
        <f t="shared" si="87"/>
        <v>0</v>
      </c>
      <c r="R244" s="628">
        <f t="shared" si="87"/>
        <v>0</v>
      </c>
      <c r="S244" s="628">
        <f t="shared" si="87"/>
        <v>0</v>
      </c>
      <c r="T244" s="628">
        <f t="shared" si="87"/>
        <v>0</v>
      </c>
      <c r="U244" s="628">
        <f t="shared" si="87"/>
        <v>0</v>
      </c>
      <c r="V244" s="629" t="e">
        <f t="shared" si="73"/>
        <v>#DIV/0!</v>
      </c>
      <c r="W244" s="630"/>
      <c r="X244" s="632" t="e">
        <f t="shared" si="71"/>
        <v>#DIV/0!</v>
      </c>
      <c r="Y244" s="632" t="e">
        <f t="shared" si="71"/>
        <v>#DIV/0!</v>
      </c>
      <c r="Z244" s="632" t="e">
        <f t="shared" si="71"/>
        <v>#DIV/0!</v>
      </c>
      <c r="AA244" s="632" t="e">
        <f t="shared" si="69"/>
        <v>#DIV/0!</v>
      </c>
    </row>
    <row r="245" spans="1:27" ht="22.5" hidden="1" customHeight="1" thickTop="1" thickBot="1" x14ac:dyDescent="0.3">
      <c r="A245" s="451">
        <v>1</v>
      </c>
      <c r="B245" s="451">
        <v>1</v>
      </c>
      <c r="C245" s="450" t="s">
        <v>1413</v>
      </c>
      <c r="D245" s="450" t="s">
        <v>1345</v>
      </c>
      <c r="E245" s="450" t="s">
        <v>1345</v>
      </c>
      <c r="F245" s="450" t="s">
        <v>2214</v>
      </c>
      <c r="G245" s="450" t="s">
        <v>1343</v>
      </c>
      <c r="H245" s="450"/>
      <c r="I245" s="450"/>
      <c r="J245" s="450"/>
      <c r="K245" s="647" t="s">
        <v>2264</v>
      </c>
      <c r="L245" s="641"/>
      <c r="M245" s="641"/>
      <c r="N245" s="641"/>
      <c r="O245" s="641">
        <f>+L245+M245-N245</f>
        <v>0</v>
      </c>
      <c r="P245" s="641"/>
      <c r="Q245" s="641"/>
      <c r="R245" s="641"/>
      <c r="S245" s="641"/>
      <c r="T245" s="641"/>
      <c r="U245" s="641"/>
      <c r="V245" s="648" t="e">
        <f t="shared" si="73"/>
        <v>#DIV/0!</v>
      </c>
      <c r="W245" s="644"/>
      <c r="X245" s="584" t="e">
        <f t="shared" si="71"/>
        <v>#DIV/0!</v>
      </c>
      <c r="Y245" s="584" t="e">
        <f t="shared" si="71"/>
        <v>#DIV/0!</v>
      </c>
      <c r="Z245" s="584" t="e">
        <f t="shared" si="71"/>
        <v>#DIV/0!</v>
      </c>
      <c r="AA245" s="584" t="e">
        <f t="shared" si="69"/>
        <v>#DIV/0!</v>
      </c>
    </row>
    <row r="246" spans="1:27" ht="22.5" hidden="1" customHeight="1" thickTop="1" thickBot="1" x14ac:dyDescent="0.3">
      <c r="A246" s="451">
        <v>1</v>
      </c>
      <c r="B246" s="451">
        <v>1</v>
      </c>
      <c r="C246" s="450" t="s">
        <v>1413</v>
      </c>
      <c r="D246" s="450" t="s">
        <v>1345</v>
      </c>
      <c r="E246" s="450" t="s">
        <v>1345</v>
      </c>
      <c r="F246" s="450" t="s">
        <v>2214</v>
      </c>
      <c r="G246" s="450" t="s">
        <v>1413</v>
      </c>
      <c r="H246" s="450"/>
      <c r="I246" s="450"/>
      <c r="J246" s="450"/>
      <c r="K246" s="647" t="s">
        <v>2265</v>
      </c>
      <c r="L246" s="641"/>
      <c r="M246" s="641"/>
      <c r="N246" s="641"/>
      <c r="O246" s="641">
        <f>+L246+M246-N246</f>
        <v>0</v>
      </c>
      <c r="P246" s="641"/>
      <c r="Q246" s="641"/>
      <c r="R246" s="641"/>
      <c r="S246" s="641"/>
      <c r="T246" s="641"/>
      <c r="U246" s="641"/>
      <c r="V246" s="648" t="e">
        <f t="shared" si="73"/>
        <v>#DIV/0!</v>
      </c>
      <c r="W246" s="644"/>
      <c r="X246" s="584" t="e">
        <f t="shared" si="71"/>
        <v>#DIV/0!</v>
      </c>
      <c r="Y246" s="584" t="e">
        <f t="shared" si="71"/>
        <v>#DIV/0!</v>
      </c>
      <c r="Z246" s="584" t="e">
        <f t="shared" si="71"/>
        <v>#DIV/0!</v>
      </c>
      <c r="AA246" s="584" t="e">
        <f t="shared" si="69"/>
        <v>#DIV/0!</v>
      </c>
    </row>
    <row r="247" spans="1:27" ht="22.5" hidden="1" customHeight="1" thickTop="1" thickBot="1" x14ac:dyDescent="0.3">
      <c r="A247" s="451">
        <v>1</v>
      </c>
      <c r="B247" s="451">
        <v>1</v>
      </c>
      <c r="C247" s="450" t="s">
        <v>1413</v>
      </c>
      <c r="D247" s="450" t="s">
        <v>1345</v>
      </c>
      <c r="E247" s="450" t="s">
        <v>1345</v>
      </c>
      <c r="F247" s="450" t="s">
        <v>2214</v>
      </c>
      <c r="G247" s="450" t="s">
        <v>2076</v>
      </c>
      <c r="H247" s="450"/>
      <c r="I247" s="450"/>
      <c r="J247" s="450"/>
      <c r="K247" s="647" t="s">
        <v>2266</v>
      </c>
      <c r="L247" s="641"/>
      <c r="M247" s="641"/>
      <c r="N247" s="641"/>
      <c r="O247" s="641">
        <f>+L247+M247-N247</f>
        <v>0</v>
      </c>
      <c r="P247" s="641"/>
      <c r="Q247" s="641"/>
      <c r="R247" s="641"/>
      <c r="S247" s="641"/>
      <c r="T247" s="641"/>
      <c r="U247" s="641"/>
      <c r="V247" s="648" t="e">
        <f t="shared" si="73"/>
        <v>#DIV/0!</v>
      </c>
      <c r="W247" s="644"/>
      <c r="X247" s="584" t="e">
        <f t="shared" si="71"/>
        <v>#DIV/0!</v>
      </c>
      <c r="Y247" s="584" t="e">
        <f t="shared" si="71"/>
        <v>#DIV/0!</v>
      </c>
      <c r="Z247" s="584" t="e">
        <f t="shared" si="71"/>
        <v>#DIV/0!</v>
      </c>
      <c r="AA247" s="584" t="e">
        <f t="shared" si="69"/>
        <v>#DIV/0!</v>
      </c>
    </row>
    <row r="248" spans="1:27" s="632" customFormat="1" ht="22.5" hidden="1" customHeight="1" thickTop="1" thickBot="1" x14ac:dyDescent="0.3">
      <c r="A248" s="626">
        <v>1</v>
      </c>
      <c r="B248" s="626">
        <v>1</v>
      </c>
      <c r="C248" s="449" t="s">
        <v>1413</v>
      </c>
      <c r="D248" s="449" t="s">
        <v>1345</v>
      </c>
      <c r="E248" s="449" t="s">
        <v>1345</v>
      </c>
      <c r="F248" s="449" t="s">
        <v>2267</v>
      </c>
      <c r="G248" s="449"/>
      <c r="H248" s="449"/>
      <c r="I248" s="449"/>
      <c r="J248" s="449"/>
      <c r="K248" s="627" t="s">
        <v>2268</v>
      </c>
      <c r="L248" s="628">
        <f>SUM(L249:L251)</f>
        <v>0</v>
      </c>
      <c r="M248" s="628">
        <f t="shared" ref="M248:U248" si="88">SUM(M249:M251)</f>
        <v>0</v>
      </c>
      <c r="N248" s="628">
        <f t="shared" si="88"/>
        <v>0</v>
      </c>
      <c r="O248" s="628">
        <f t="shared" si="88"/>
        <v>0</v>
      </c>
      <c r="P248" s="628">
        <f t="shared" si="88"/>
        <v>0</v>
      </c>
      <c r="Q248" s="628">
        <f t="shared" si="88"/>
        <v>0</v>
      </c>
      <c r="R248" s="628">
        <f t="shared" si="88"/>
        <v>0</v>
      </c>
      <c r="S248" s="628">
        <f t="shared" si="88"/>
        <v>0</v>
      </c>
      <c r="T248" s="628">
        <f t="shared" si="88"/>
        <v>0</v>
      </c>
      <c r="U248" s="628">
        <f t="shared" si="88"/>
        <v>0</v>
      </c>
      <c r="V248" s="629" t="e">
        <f t="shared" si="73"/>
        <v>#DIV/0!</v>
      </c>
      <c r="W248" s="630"/>
      <c r="X248" s="632" t="e">
        <f t="shared" si="71"/>
        <v>#DIV/0!</v>
      </c>
      <c r="Y248" s="632" t="e">
        <f t="shared" si="71"/>
        <v>#DIV/0!</v>
      </c>
      <c r="Z248" s="632" t="e">
        <f t="shared" si="71"/>
        <v>#DIV/0!</v>
      </c>
      <c r="AA248" s="632" t="e">
        <f t="shared" si="69"/>
        <v>#DIV/0!</v>
      </c>
    </row>
    <row r="249" spans="1:27" ht="22.5" hidden="1" customHeight="1" thickTop="1" thickBot="1" x14ac:dyDescent="0.3">
      <c r="A249" s="451">
        <v>1</v>
      </c>
      <c r="B249" s="451">
        <v>1</v>
      </c>
      <c r="C249" s="450" t="s">
        <v>1413</v>
      </c>
      <c r="D249" s="450" t="s">
        <v>1345</v>
      </c>
      <c r="E249" s="450" t="s">
        <v>1345</v>
      </c>
      <c r="F249" s="450" t="s">
        <v>2267</v>
      </c>
      <c r="G249" s="450" t="s">
        <v>1343</v>
      </c>
      <c r="H249" s="450"/>
      <c r="I249" s="450"/>
      <c r="J249" s="450"/>
      <c r="K249" s="647" t="s">
        <v>2269</v>
      </c>
      <c r="L249" s="641"/>
      <c r="M249" s="641"/>
      <c r="N249" s="641"/>
      <c r="O249" s="641">
        <f>+L249+M249-N249</f>
        <v>0</v>
      </c>
      <c r="P249" s="641"/>
      <c r="Q249" s="641"/>
      <c r="R249" s="641"/>
      <c r="S249" s="641"/>
      <c r="T249" s="641"/>
      <c r="U249" s="641"/>
      <c r="V249" s="648" t="e">
        <f t="shared" si="73"/>
        <v>#DIV/0!</v>
      </c>
      <c r="W249" s="644"/>
      <c r="X249" s="584" t="e">
        <f t="shared" si="71"/>
        <v>#DIV/0!</v>
      </c>
      <c r="Y249" s="584" t="e">
        <f t="shared" si="71"/>
        <v>#DIV/0!</v>
      </c>
      <c r="Z249" s="584" t="e">
        <f t="shared" si="71"/>
        <v>#DIV/0!</v>
      </c>
      <c r="AA249" s="584" t="e">
        <f t="shared" si="69"/>
        <v>#DIV/0!</v>
      </c>
    </row>
    <row r="250" spans="1:27" ht="22.5" hidden="1" customHeight="1" thickTop="1" thickBot="1" x14ac:dyDescent="0.3">
      <c r="A250" s="451">
        <v>1</v>
      </c>
      <c r="B250" s="451">
        <v>1</v>
      </c>
      <c r="C250" s="450" t="s">
        <v>1413</v>
      </c>
      <c r="D250" s="450" t="s">
        <v>1345</v>
      </c>
      <c r="E250" s="450" t="s">
        <v>1345</v>
      </c>
      <c r="F250" s="450" t="s">
        <v>2267</v>
      </c>
      <c r="G250" s="450" t="s">
        <v>1413</v>
      </c>
      <c r="H250" s="450"/>
      <c r="I250" s="450"/>
      <c r="J250" s="450"/>
      <c r="K250" s="647" t="s">
        <v>2270</v>
      </c>
      <c r="L250" s="641"/>
      <c r="M250" s="641"/>
      <c r="N250" s="641"/>
      <c r="O250" s="641">
        <f>+L250+M250-N250</f>
        <v>0</v>
      </c>
      <c r="P250" s="641"/>
      <c r="Q250" s="641"/>
      <c r="R250" s="641"/>
      <c r="S250" s="641"/>
      <c r="T250" s="641"/>
      <c r="U250" s="641"/>
      <c r="V250" s="648" t="e">
        <f t="shared" si="73"/>
        <v>#DIV/0!</v>
      </c>
      <c r="W250" s="644"/>
      <c r="X250" s="584" t="e">
        <f t="shared" si="71"/>
        <v>#DIV/0!</v>
      </c>
      <c r="Y250" s="584" t="e">
        <f t="shared" si="71"/>
        <v>#DIV/0!</v>
      </c>
      <c r="Z250" s="584" t="e">
        <f t="shared" si="71"/>
        <v>#DIV/0!</v>
      </c>
      <c r="AA250" s="584" t="e">
        <f t="shared" si="69"/>
        <v>#DIV/0!</v>
      </c>
    </row>
    <row r="251" spans="1:27" ht="22.5" hidden="1" customHeight="1" thickTop="1" thickBot="1" x14ac:dyDescent="0.3">
      <c r="A251" s="451">
        <v>1</v>
      </c>
      <c r="B251" s="451">
        <v>1</v>
      </c>
      <c r="C251" s="450" t="s">
        <v>1413</v>
      </c>
      <c r="D251" s="450" t="s">
        <v>1345</v>
      </c>
      <c r="E251" s="450" t="s">
        <v>1345</v>
      </c>
      <c r="F251" s="450" t="s">
        <v>2267</v>
      </c>
      <c r="G251" s="450" t="s">
        <v>2076</v>
      </c>
      <c r="H251" s="450"/>
      <c r="I251" s="450"/>
      <c r="J251" s="450"/>
      <c r="K251" s="647" t="s">
        <v>2271</v>
      </c>
      <c r="L251" s="641"/>
      <c r="M251" s="641"/>
      <c r="N251" s="641"/>
      <c r="O251" s="641">
        <f>+L251+M251-N251</f>
        <v>0</v>
      </c>
      <c r="P251" s="641"/>
      <c r="Q251" s="641"/>
      <c r="R251" s="641"/>
      <c r="S251" s="641"/>
      <c r="T251" s="641"/>
      <c r="U251" s="641"/>
      <c r="V251" s="648" t="e">
        <f t="shared" si="73"/>
        <v>#DIV/0!</v>
      </c>
      <c r="W251" s="644"/>
      <c r="X251" s="584" t="e">
        <f t="shared" si="71"/>
        <v>#DIV/0!</v>
      </c>
      <c r="Y251" s="584" t="e">
        <f t="shared" si="71"/>
        <v>#DIV/0!</v>
      </c>
      <c r="Z251" s="584" t="e">
        <f t="shared" si="71"/>
        <v>#DIV/0!</v>
      </c>
      <c r="AA251" s="584" t="e">
        <f t="shared" si="69"/>
        <v>#DIV/0!</v>
      </c>
    </row>
    <row r="252" spans="1:27" s="625" customFormat="1" ht="22.5" hidden="1" customHeight="1" thickTop="1" thickBot="1" x14ac:dyDescent="0.3">
      <c r="A252" s="618">
        <v>1</v>
      </c>
      <c r="B252" s="618">
        <v>1</v>
      </c>
      <c r="C252" s="619" t="s">
        <v>1413</v>
      </c>
      <c r="D252" s="619" t="s">
        <v>1345</v>
      </c>
      <c r="E252" s="619" t="s">
        <v>1350</v>
      </c>
      <c r="F252" s="619"/>
      <c r="G252" s="619"/>
      <c r="H252" s="619"/>
      <c r="I252" s="619"/>
      <c r="J252" s="619"/>
      <c r="K252" s="620" t="s">
        <v>1382</v>
      </c>
      <c r="L252" s="621">
        <f>+L253+L271+L284</f>
        <v>0</v>
      </c>
      <c r="M252" s="621">
        <f t="shared" ref="M252:U252" si="89">+M253+M271+M284</f>
        <v>0</v>
      </c>
      <c r="N252" s="621">
        <f t="shared" si="89"/>
        <v>0</v>
      </c>
      <c r="O252" s="621">
        <f t="shared" si="89"/>
        <v>0</v>
      </c>
      <c r="P252" s="621">
        <f t="shared" si="89"/>
        <v>0</v>
      </c>
      <c r="Q252" s="621">
        <f t="shared" si="89"/>
        <v>0</v>
      </c>
      <c r="R252" s="621">
        <f t="shared" si="89"/>
        <v>0</v>
      </c>
      <c r="S252" s="621">
        <f t="shared" si="89"/>
        <v>0</v>
      </c>
      <c r="T252" s="621">
        <f t="shared" si="89"/>
        <v>0</v>
      </c>
      <c r="U252" s="621">
        <f t="shared" si="89"/>
        <v>0</v>
      </c>
      <c r="V252" s="622" t="e">
        <f t="shared" si="73"/>
        <v>#DIV/0!</v>
      </c>
      <c r="W252" s="623"/>
      <c r="X252" s="625" t="e">
        <f t="shared" si="71"/>
        <v>#DIV/0!</v>
      </c>
      <c r="Y252" s="625" t="e">
        <f t="shared" si="71"/>
        <v>#DIV/0!</v>
      </c>
      <c r="Z252" s="625" t="e">
        <f t="shared" si="71"/>
        <v>#DIV/0!</v>
      </c>
      <c r="AA252" s="625" t="e">
        <f t="shared" si="69"/>
        <v>#DIV/0!</v>
      </c>
    </row>
    <row r="253" spans="1:27" s="632" customFormat="1" ht="22.5" hidden="1" customHeight="1" thickTop="1" thickBot="1" x14ac:dyDescent="0.3">
      <c r="A253" s="626">
        <v>1</v>
      </c>
      <c r="B253" s="626">
        <v>1</v>
      </c>
      <c r="C253" s="449" t="s">
        <v>1413</v>
      </c>
      <c r="D253" s="449" t="s">
        <v>1345</v>
      </c>
      <c r="E253" s="449" t="s">
        <v>1350</v>
      </c>
      <c r="F253" s="449" t="s">
        <v>2138</v>
      </c>
      <c r="G253" s="449"/>
      <c r="H253" s="449"/>
      <c r="I253" s="449"/>
      <c r="J253" s="449"/>
      <c r="K253" s="627" t="s">
        <v>1383</v>
      </c>
      <c r="L253" s="628">
        <f>+L254+L258+L262</f>
        <v>0</v>
      </c>
      <c r="M253" s="628">
        <f t="shared" ref="M253:U253" si="90">+M254+M258+M262</f>
        <v>0</v>
      </c>
      <c r="N253" s="628">
        <f t="shared" si="90"/>
        <v>0</v>
      </c>
      <c r="O253" s="628">
        <f t="shared" si="90"/>
        <v>0</v>
      </c>
      <c r="P253" s="628">
        <f t="shared" si="90"/>
        <v>0</v>
      </c>
      <c r="Q253" s="628">
        <f t="shared" si="90"/>
        <v>0</v>
      </c>
      <c r="R253" s="628">
        <f t="shared" si="90"/>
        <v>0</v>
      </c>
      <c r="S253" s="628">
        <f t="shared" si="90"/>
        <v>0</v>
      </c>
      <c r="T253" s="628">
        <f t="shared" si="90"/>
        <v>0</v>
      </c>
      <c r="U253" s="628">
        <f t="shared" si="90"/>
        <v>0</v>
      </c>
      <c r="V253" s="629" t="e">
        <f t="shared" si="73"/>
        <v>#DIV/0!</v>
      </c>
      <c r="W253" s="630"/>
      <c r="X253" s="632" t="e">
        <f t="shared" si="71"/>
        <v>#DIV/0!</v>
      </c>
      <c r="Y253" s="632" t="e">
        <f t="shared" si="71"/>
        <v>#DIV/0!</v>
      </c>
      <c r="Z253" s="632" t="e">
        <f t="shared" si="71"/>
        <v>#DIV/0!</v>
      </c>
      <c r="AA253" s="632" t="e">
        <f t="shared" si="69"/>
        <v>#DIV/0!</v>
      </c>
    </row>
    <row r="254" spans="1:27" s="663" customFormat="1" ht="22.5" hidden="1" customHeight="1" thickTop="1" thickBot="1" x14ac:dyDescent="0.3">
      <c r="A254" s="655">
        <v>1</v>
      </c>
      <c r="B254" s="655">
        <v>1</v>
      </c>
      <c r="C254" s="656" t="s">
        <v>1413</v>
      </c>
      <c r="D254" s="656" t="s">
        <v>1345</v>
      </c>
      <c r="E254" s="656" t="s">
        <v>1350</v>
      </c>
      <c r="F254" s="656" t="s">
        <v>2138</v>
      </c>
      <c r="G254" s="656" t="s">
        <v>1345</v>
      </c>
      <c r="H254" s="656"/>
      <c r="I254" s="656"/>
      <c r="J254" s="656"/>
      <c r="K254" s="658" t="s">
        <v>1384</v>
      </c>
      <c r="L254" s="659">
        <f>SUM(L255:L257)</f>
        <v>0</v>
      </c>
      <c r="M254" s="659">
        <f t="shared" ref="M254:U254" si="91">SUM(M255:M257)</f>
        <v>0</v>
      </c>
      <c r="N254" s="659">
        <f t="shared" si="91"/>
        <v>0</v>
      </c>
      <c r="O254" s="659">
        <f t="shared" si="91"/>
        <v>0</v>
      </c>
      <c r="P254" s="659">
        <f t="shared" si="91"/>
        <v>0</v>
      </c>
      <c r="Q254" s="659">
        <f t="shared" si="91"/>
        <v>0</v>
      </c>
      <c r="R254" s="659">
        <f t="shared" si="91"/>
        <v>0</v>
      </c>
      <c r="S254" s="659">
        <f t="shared" si="91"/>
        <v>0</v>
      </c>
      <c r="T254" s="659">
        <f t="shared" si="91"/>
        <v>0</v>
      </c>
      <c r="U254" s="659">
        <f t="shared" si="91"/>
        <v>0</v>
      </c>
      <c r="V254" s="660" t="e">
        <f t="shared" si="73"/>
        <v>#DIV/0!</v>
      </c>
      <c r="W254" s="661"/>
      <c r="X254" s="663" t="e">
        <f t="shared" si="71"/>
        <v>#DIV/0!</v>
      </c>
      <c r="Y254" s="663" t="e">
        <f t="shared" si="71"/>
        <v>#DIV/0!</v>
      </c>
      <c r="Z254" s="663" t="e">
        <f t="shared" si="71"/>
        <v>#DIV/0!</v>
      </c>
      <c r="AA254" s="663" t="e">
        <f t="shared" si="69"/>
        <v>#DIV/0!</v>
      </c>
    </row>
    <row r="255" spans="1:27" ht="22.5" hidden="1" customHeight="1" thickTop="1" thickBot="1" x14ac:dyDescent="0.3">
      <c r="A255" s="451">
        <v>1</v>
      </c>
      <c r="B255" s="451">
        <v>1</v>
      </c>
      <c r="C255" s="450" t="s">
        <v>1413</v>
      </c>
      <c r="D255" s="450" t="s">
        <v>1345</v>
      </c>
      <c r="E255" s="450" t="s">
        <v>1350</v>
      </c>
      <c r="F255" s="450" t="s">
        <v>2138</v>
      </c>
      <c r="G255" s="450" t="s">
        <v>1345</v>
      </c>
      <c r="H255" s="450" t="s">
        <v>1343</v>
      </c>
      <c r="I255" s="450"/>
      <c r="J255" s="450"/>
      <c r="K255" s="647" t="s">
        <v>2272</v>
      </c>
      <c r="L255" s="641"/>
      <c r="M255" s="641"/>
      <c r="N255" s="641"/>
      <c r="O255" s="641">
        <f>+L255+M255-N255</f>
        <v>0</v>
      </c>
      <c r="P255" s="641"/>
      <c r="Q255" s="641"/>
      <c r="R255" s="641"/>
      <c r="S255" s="641"/>
      <c r="T255" s="641"/>
      <c r="U255" s="641"/>
      <c r="V255" s="648" t="e">
        <f t="shared" si="73"/>
        <v>#DIV/0!</v>
      </c>
      <c r="W255" s="644"/>
      <c r="X255" s="584" t="e">
        <f t="shared" si="71"/>
        <v>#DIV/0!</v>
      </c>
      <c r="Y255" s="584" t="e">
        <f t="shared" si="71"/>
        <v>#DIV/0!</v>
      </c>
      <c r="Z255" s="584" t="e">
        <f t="shared" si="71"/>
        <v>#DIV/0!</v>
      </c>
      <c r="AA255" s="584" t="e">
        <f t="shared" si="69"/>
        <v>#DIV/0!</v>
      </c>
    </row>
    <row r="256" spans="1:27" ht="22.5" hidden="1" customHeight="1" thickTop="1" thickBot="1" x14ac:dyDescent="0.3">
      <c r="A256" s="451">
        <v>1</v>
      </c>
      <c r="B256" s="451">
        <v>1</v>
      </c>
      <c r="C256" s="450" t="s">
        <v>1413</v>
      </c>
      <c r="D256" s="450" t="s">
        <v>1345</v>
      </c>
      <c r="E256" s="450" t="s">
        <v>1350</v>
      </c>
      <c r="F256" s="450" t="s">
        <v>2138</v>
      </c>
      <c r="G256" s="450" t="s">
        <v>1345</v>
      </c>
      <c r="H256" s="450" t="s">
        <v>1413</v>
      </c>
      <c r="I256" s="450"/>
      <c r="J256" s="450"/>
      <c r="K256" s="647" t="s">
        <v>2273</v>
      </c>
      <c r="L256" s="641"/>
      <c r="M256" s="641"/>
      <c r="N256" s="641"/>
      <c r="O256" s="641">
        <f>+L256+M256-N256</f>
        <v>0</v>
      </c>
      <c r="P256" s="641"/>
      <c r="Q256" s="641"/>
      <c r="R256" s="641"/>
      <c r="S256" s="641"/>
      <c r="T256" s="641"/>
      <c r="U256" s="641"/>
      <c r="V256" s="648" t="e">
        <f t="shared" si="73"/>
        <v>#DIV/0!</v>
      </c>
      <c r="W256" s="644"/>
      <c r="X256" s="584" t="e">
        <f t="shared" si="71"/>
        <v>#DIV/0!</v>
      </c>
      <c r="Y256" s="584" t="e">
        <f t="shared" si="71"/>
        <v>#DIV/0!</v>
      </c>
      <c r="Z256" s="584" t="e">
        <f t="shared" si="71"/>
        <v>#DIV/0!</v>
      </c>
      <c r="AA256" s="584" t="e">
        <f t="shared" si="69"/>
        <v>#DIV/0!</v>
      </c>
    </row>
    <row r="257" spans="1:27" ht="22.5" hidden="1" customHeight="1" thickTop="1" thickBot="1" x14ac:dyDescent="0.3">
      <c r="A257" s="451">
        <v>1</v>
      </c>
      <c r="B257" s="451">
        <v>1</v>
      </c>
      <c r="C257" s="450" t="s">
        <v>1413</v>
      </c>
      <c r="D257" s="450" t="s">
        <v>1345</v>
      </c>
      <c r="E257" s="450" t="s">
        <v>1350</v>
      </c>
      <c r="F257" s="450" t="s">
        <v>2138</v>
      </c>
      <c r="G257" s="450" t="s">
        <v>1345</v>
      </c>
      <c r="H257" s="450" t="s">
        <v>2076</v>
      </c>
      <c r="I257" s="450"/>
      <c r="J257" s="450"/>
      <c r="K257" s="647" t="s">
        <v>2274</v>
      </c>
      <c r="L257" s="641"/>
      <c r="M257" s="641"/>
      <c r="N257" s="641"/>
      <c r="O257" s="641">
        <f>+L257+M257-N257</f>
        <v>0</v>
      </c>
      <c r="P257" s="641"/>
      <c r="Q257" s="641"/>
      <c r="R257" s="641"/>
      <c r="S257" s="641"/>
      <c r="T257" s="641"/>
      <c r="U257" s="641"/>
      <c r="V257" s="648" t="e">
        <f t="shared" si="73"/>
        <v>#DIV/0!</v>
      </c>
      <c r="W257" s="644"/>
      <c r="X257" s="584" t="e">
        <f t="shared" si="71"/>
        <v>#DIV/0!</v>
      </c>
      <c r="Y257" s="584" t="e">
        <f t="shared" si="71"/>
        <v>#DIV/0!</v>
      </c>
      <c r="Z257" s="584" t="e">
        <f t="shared" si="71"/>
        <v>#DIV/0!</v>
      </c>
      <c r="AA257" s="584" t="e">
        <f t="shared" si="69"/>
        <v>#DIV/0!</v>
      </c>
    </row>
    <row r="258" spans="1:27" s="663" customFormat="1" ht="22.5" hidden="1" customHeight="1" thickTop="1" thickBot="1" x14ac:dyDescent="0.3">
      <c r="A258" s="655">
        <v>1</v>
      </c>
      <c r="B258" s="655">
        <v>1</v>
      </c>
      <c r="C258" s="656" t="s">
        <v>1413</v>
      </c>
      <c r="D258" s="656" t="s">
        <v>1345</v>
      </c>
      <c r="E258" s="656" t="s">
        <v>1350</v>
      </c>
      <c r="F258" s="656" t="s">
        <v>2138</v>
      </c>
      <c r="G258" s="656" t="s">
        <v>1350</v>
      </c>
      <c r="H258" s="656"/>
      <c r="I258" s="656"/>
      <c r="J258" s="656"/>
      <c r="K258" s="658" t="s">
        <v>1385</v>
      </c>
      <c r="L258" s="659">
        <f>SUM(L259:L261)</f>
        <v>0</v>
      </c>
      <c r="M258" s="659">
        <f t="shared" ref="M258:U258" si="92">SUM(M259:M261)</f>
        <v>0</v>
      </c>
      <c r="N258" s="659">
        <f t="shared" si="92"/>
        <v>0</v>
      </c>
      <c r="O258" s="659">
        <f t="shared" si="92"/>
        <v>0</v>
      </c>
      <c r="P258" s="659">
        <f t="shared" si="92"/>
        <v>0</v>
      </c>
      <c r="Q258" s="659">
        <f t="shared" si="92"/>
        <v>0</v>
      </c>
      <c r="R258" s="659">
        <f t="shared" si="92"/>
        <v>0</v>
      </c>
      <c r="S258" s="659">
        <f t="shared" si="92"/>
        <v>0</v>
      </c>
      <c r="T258" s="659">
        <f t="shared" si="92"/>
        <v>0</v>
      </c>
      <c r="U258" s="659">
        <f t="shared" si="92"/>
        <v>0</v>
      </c>
      <c r="V258" s="660" t="e">
        <f t="shared" si="73"/>
        <v>#DIV/0!</v>
      </c>
      <c r="W258" s="661"/>
      <c r="X258" s="663" t="e">
        <f t="shared" si="71"/>
        <v>#DIV/0!</v>
      </c>
      <c r="Y258" s="663" t="e">
        <f t="shared" si="71"/>
        <v>#DIV/0!</v>
      </c>
      <c r="Z258" s="663" t="e">
        <f t="shared" si="71"/>
        <v>#DIV/0!</v>
      </c>
      <c r="AA258" s="663" t="e">
        <f t="shared" si="69"/>
        <v>#DIV/0!</v>
      </c>
    </row>
    <row r="259" spans="1:27" ht="22.5" hidden="1" customHeight="1" thickTop="1" thickBot="1" x14ac:dyDescent="0.3">
      <c r="A259" s="451">
        <v>1</v>
      </c>
      <c r="B259" s="451">
        <v>1</v>
      </c>
      <c r="C259" s="450" t="s">
        <v>1413</v>
      </c>
      <c r="D259" s="450" t="s">
        <v>1345</v>
      </c>
      <c r="E259" s="450" t="s">
        <v>1350</v>
      </c>
      <c r="F259" s="450" t="s">
        <v>2138</v>
      </c>
      <c r="G259" s="450" t="s">
        <v>1350</v>
      </c>
      <c r="H259" s="450" t="s">
        <v>1343</v>
      </c>
      <c r="I259" s="450"/>
      <c r="J259" s="450"/>
      <c r="K259" s="647" t="s">
        <v>2275</v>
      </c>
      <c r="L259" s="641"/>
      <c r="M259" s="641"/>
      <c r="N259" s="641"/>
      <c r="O259" s="641">
        <f>+L259+M259-N259</f>
        <v>0</v>
      </c>
      <c r="P259" s="641"/>
      <c r="Q259" s="641"/>
      <c r="R259" s="641"/>
      <c r="S259" s="641"/>
      <c r="T259" s="641"/>
      <c r="U259" s="641"/>
      <c r="V259" s="648" t="e">
        <f t="shared" si="73"/>
        <v>#DIV/0!</v>
      </c>
      <c r="W259" s="644"/>
      <c r="X259" s="584" t="e">
        <f t="shared" si="71"/>
        <v>#DIV/0!</v>
      </c>
      <c r="Y259" s="584" t="e">
        <f t="shared" si="71"/>
        <v>#DIV/0!</v>
      </c>
      <c r="Z259" s="584" t="e">
        <f t="shared" si="71"/>
        <v>#DIV/0!</v>
      </c>
      <c r="AA259" s="584" t="e">
        <f t="shared" si="69"/>
        <v>#DIV/0!</v>
      </c>
    </row>
    <row r="260" spans="1:27" ht="22.5" hidden="1" customHeight="1" thickTop="1" thickBot="1" x14ac:dyDescent="0.3">
      <c r="A260" s="451">
        <v>1</v>
      </c>
      <c r="B260" s="451">
        <v>1</v>
      </c>
      <c r="C260" s="450" t="s">
        <v>1413</v>
      </c>
      <c r="D260" s="450" t="s">
        <v>1345</v>
      </c>
      <c r="E260" s="450" t="s">
        <v>1350</v>
      </c>
      <c r="F260" s="450" t="s">
        <v>2138</v>
      </c>
      <c r="G260" s="450" t="s">
        <v>1350</v>
      </c>
      <c r="H260" s="450" t="s">
        <v>1413</v>
      </c>
      <c r="I260" s="450"/>
      <c r="J260" s="450"/>
      <c r="K260" s="647" t="s">
        <v>2276</v>
      </c>
      <c r="L260" s="641"/>
      <c r="M260" s="641"/>
      <c r="N260" s="641"/>
      <c r="O260" s="641">
        <f>+L260+M260-N260</f>
        <v>0</v>
      </c>
      <c r="P260" s="641"/>
      <c r="Q260" s="641"/>
      <c r="R260" s="641"/>
      <c r="S260" s="641"/>
      <c r="T260" s="641"/>
      <c r="U260" s="641"/>
      <c r="V260" s="648" t="e">
        <f t="shared" si="73"/>
        <v>#DIV/0!</v>
      </c>
      <c r="W260" s="644"/>
      <c r="X260" s="584" t="e">
        <f t="shared" si="71"/>
        <v>#DIV/0!</v>
      </c>
      <c r="Y260" s="584" t="e">
        <f t="shared" si="71"/>
        <v>#DIV/0!</v>
      </c>
      <c r="Z260" s="584" t="e">
        <f t="shared" si="71"/>
        <v>#DIV/0!</v>
      </c>
      <c r="AA260" s="584" t="e">
        <f t="shared" si="69"/>
        <v>#DIV/0!</v>
      </c>
    </row>
    <row r="261" spans="1:27" ht="22.5" hidden="1" customHeight="1" thickTop="1" thickBot="1" x14ac:dyDescent="0.3">
      <c r="A261" s="451">
        <v>1</v>
      </c>
      <c r="B261" s="451">
        <v>1</v>
      </c>
      <c r="C261" s="450" t="s">
        <v>1413</v>
      </c>
      <c r="D261" s="450" t="s">
        <v>1345</v>
      </c>
      <c r="E261" s="450" t="s">
        <v>1350</v>
      </c>
      <c r="F261" s="450" t="s">
        <v>2138</v>
      </c>
      <c r="G261" s="450" t="s">
        <v>1350</v>
      </c>
      <c r="H261" s="450" t="s">
        <v>2076</v>
      </c>
      <c r="I261" s="450"/>
      <c r="J261" s="450"/>
      <c r="K261" s="647" t="s">
        <v>2277</v>
      </c>
      <c r="L261" s="641"/>
      <c r="M261" s="641"/>
      <c r="N261" s="641"/>
      <c r="O261" s="641">
        <f>+L261+M261-N261</f>
        <v>0</v>
      </c>
      <c r="P261" s="641"/>
      <c r="Q261" s="641"/>
      <c r="R261" s="641"/>
      <c r="S261" s="641"/>
      <c r="T261" s="641"/>
      <c r="U261" s="641"/>
      <c r="V261" s="648" t="e">
        <f t="shared" si="73"/>
        <v>#DIV/0!</v>
      </c>
      <c r="W261" s="644"/>
      <c r="X261" s="584" t="e">
        <f t="shared" si="71"/>
        <v>#DIV/0!</v>
      </c>
      <c r="Y261" s="584" t="e">
        <f t="shared" si="71"/>
        <v>#DIV/0!</v>
      </c>
      <c r="Z261" s="584" t="e">
        <f t="shared" si="71"/>
        <v>#DIV/0!</v>
      </c>
      <c r="AA261" s="584" t="e">
        <f t="shared" si="69"/>
        <v>#DIV/0!</v>
      </c>
    </row>
    <row r="262" spans="1:27" s="663" customFormat="1" ht="22.5" hidden="1" customHeight="1" thickTop="1" thickBot="1" x14ac:dyDescent="0.3">
      <c r="A262" s="655">
        <v>1</v>
      </c>
      <c r="B262" s="655">
        <v>1</v>
      </c>
      <c r="C262" s="656" t="s">
        <v>1413</v>
      </c>
      <c r="D262" s="656" t="s">
        <v>1345</v>
      </c>
      <c r="E262" s="656" t="s">
        <v>1350</v>
      </c>
      <c r="F262" s="656" t="s">
        <v>2138</v>
      </c>
      <c r="G262" s="656" t="s">
        <v>1354</v>
      </c>
      <c r="H262" s="656"/>
      <c r="I262" s="656"/>
      <c r="J262" s="656"/>
      <c r="K262" s="658" t="s">
        <v>1386</v>
      </c>
      <c r="L262" s="659">
        <f>+L263+L267</f>
        <v>0</v>
      </c>
      <c r="M262" s="659">
        <f t="shared" ref="M262:U262" si="93">+M263+M267</f>
        <v>0</v>
      </c>
      <c r="N262" s="659">
        <f t="shared" si="93"/>
        <v>0</v>
      </c>
      <c r="O262" s="659">
        <f t="shared" si="93"/>
        <v>0</v>
      </c>
      <c r="P262" s="659">
        <f t="shared" si="93"/>
        <v>0</v>
      </c>
      <c r="Q262" s="659">
        <f t="shared" si="93"/>
        <v>0</v>
      </c>
      <c r="R262" s="659">
        <f t="shared" si="93"/>
        <v>0</v>
      </c>
      <c r="S262" s="659">
        <f t="shared" si="93"/>
        <v>0</v>
      </c>
      <c r="T262" s="659">
        <f t="shared" si="93"/>
        <v>0</v>
      </c>
      <c r="U262" s="659">
        <f t="shared" si="93"/>
        <v>0</v>
      </c>
      <c r="V262" s="660" t="e">
        <f t="shared" si="73"/>
        <v>#DIV/0!</v>
      </c>
      <c r="W262" s="661"/>
      <c r="X262" s="663" t="e">
        <f t="shared" si="71"/>
        <v>#DIV/0!</v>
      </c>
      <c r="Y262" s="663" t="e">
        <f t="shared" si="71"/>
        <v>#DIV/0!</v>
      </c>
      <c r="Z262" s="663" t="e">
        <f t="shared" si="71"/>
        <v>#DIV/0!</v>
      </c>
      <c r="AA262" s="663" t="e">
        <f t="shared" si="69"/>
        <v>#DIV/0!</v>
      </c>
    </row>
    <row r="263" spans="1:27" s="587" customFormat="1" ht="22.5" hidden="1" customHeight="1" thickTop="1" thickBot="1" x14ac:dyDescent="0.3">
      <c r="A263" s="633">
        <v>1</v>
      </c>
      <c r="B263" s="633">
        <v>1</v>
      </c>
      <c r="C263" s="524" t="s">
        <v>1413</v>
      </c>
      <c r="D263" s="524" t="s">
        <v>1345</v>
      </c>
      <c r="E263" s="524" t="s">
        <v>1350</v>
      </c>
      <c r="F263" s="524" t="s">
        <v>2138</v>
      </c>
      <c r="G263" s="524" t="s">
        <v>1354</v>
      </c>
      <c r="H263" s="524" t="s">
        <v>1345</v>
      </c>
      <c r="I263" s="524"/>
      <c r="J263" s="524"/>
      <c r="K263" s="634" t="s">
        <v>1874</v>
      </c>
      <c r="L263" s="635">
        <f>SUM(L264:L266)</f>
        <v>0</v>
      </c>
      <c r="M263" s="635">
        <f t="shared" ref="M263:U263" si="94">SUM(M264:M266)</f>
        <v>0</v>
      </c>
      <c r="N263" s="635">
        <f t="shared" si="94"/>
        <v>0</v>
      </c>
      <c r="O263" s="635">
        <f t="shared" si="94"/>
        <v>0</v>
      </c>
      <c r="P263" s="635">
        <f t="shared" si="94"/>
        <v>0</v>
      </c>
      <c r="Q263" s="635">
        <f t="shared" si="94"/>
        <v>0</v>
      </c>
      <c r="R263" s="635">
        <f t="shared" si="94"/>
        <v>0</v>
      </c>
      <c r="S263" s="635">
        <f t="shared" si="94"/>
        <v>0</v>
      </c>
      <c r="T263" s="635">
        <f t="shared" si="94"/>
        <v>0</v>
      </c>
      <c r="U263" s="635">
        <f t="shared" si="94"/>
        <v>0</v>
      </c>
      <c r="V263" s="636" t="e">
        <f t="shared" si="73"/>
        <v>#DIV/0!</v>
      </c>
      <c r="W263" s="637"/>
      <c r="X263" s="587" t="e">
        <f t="shared" si="71"/>
        <v>#DIV/0!</v>
      </c>
      <c r="Y263" s="587" t="e">
        <f t="shared" si="71"/>
        <v>#DIV/0!</v>
      </c>
      <c r="Z263" s="587" t="e">
        <f t="shared" si="71"/>
        <v>#DIV/0!</v>
      </c>
      <c r="AA263" s="587" t="e">
        <f t="shared" si="71"/>
        <v>#DIV/0!</v>
      </c>
    </row>
    <row r="264" spans="1:27" ht="22.5" hidden="1" customHeight="1" thickTop="1" thickBot="1" x14ac:dyDescent="0.3">
      <c r="A264" s="451">
        <v>1</v>
      </c>
      <c r="B264" s="451">
        <v>1</v>
      </c>
      <c r="C264" s="450" t="s">
        <v>1413</v>
      </c>
      <c r="D264" s="450" t="s">
        <v>1345</v>
      </c>
      <c r="E264" s="450" t="s">
        <v>1350</v>
      </c>
      <c r="F264" s="450" t="s">
        <v>2138</v>
      </c>
      <c r="G264" s="450" t="s">
        <v>1354</v>
      </c>
      <c r="H264" s="450" t="s">
        <v>1345</v>
      </c>
      <c r="I264" s="450" t="s">
        <v>1343</v>
      </c>
      <c r="J264" s="450"/>
      <c r="K264" s="647" t="s">
        <v>2278</v>
      </c>
      <c r="L264" s="641"/>
      <c r="M264" s="641"/>
      <c r="N264" s="641"/>
      <c r="O264" s="641">
        <f>+L264+M264-N264</f>
        <v>0</v>
      </c>
      <c r="P264" s="641"/>
      <c r="Q264" s="641"/>
      <c r="R264" s="641"/>
      <c r="S264" s="641"/>
      <c r="T264" s="641"/>
      <c r="U264" s="641"/>
      <c r="V264" s="648" t="e">
        <f t="shared" si="73"/>
        <v>#DIV/0!</v>
      </c>
      <c r="W264" s="644"/>
      <c r="X264" s="584" t="e">
        <f t="shared" ref="X264:AA327" si="95">+P264/$O264</f>
        <v>#DIV/0!</v>
      </c>
      <c r="Y264" s="584" t="e">
        <f t="shared" si="95"/>
        <v>#DIV/0!</v>
      </c>
      <c r="Z264" s="584" t="e">
        <f t="shared" si="95"/>
        <v>#DIV/0!</v>
      </c>
      <c r="AA264" s="584" t="e">
        <f t="shared" si="95"/>
        <v>#DIV/0!</v>
      </c>
    </row>
    <row r="265" spans="1:27" ht="22.5" hidden="1" customHeight="1" thickTop="1" thickBot="1" x14ac:dyDescent="0.3">
      <c r="A265" s="451">
        <v>1</v>
      </c>
      <c r="B265" s="451">
        <v>1</v>
      </c>
      <c r="C265" s="450" t="s">
        <v>1413</v>
      </c>
      <c r="D265" s="450" t="s">
        <v>1345</v>
      </c>
      <c r="E265" s="450" t="s">
        <v>1350</v>
      </c>
      <c r="F265" s="450" t="s">
        <v>2138</v>
      </c>
      <c r="G265" s="450" t="s">
        <v>1354</v>
      </c>
      <c r="H265" s="450" t="s">
        <v>1345</v>
      </c>
      <c r="I265" s="450" t="s">
        <v>1413</v>
      </c>
      <c r="J265" s="450"/>
      <c r="K265" s="647" t="s">
        <v>2279</v>
      </c>
      <c r="L265" s="641"/>
      <c r="M265" s="641"/>
      <c r="N265" s="641"/>
      <c r="O265" s="641">
        <f>+L265+M265-N265</f>
        <v>0</v>
      </c>
      <c r="P265" s="641"/>
      <c r="Q265" s="641"/>
      <c r="R265" s="641"/>
      <c r="S265" s="641"/>
      <c r="T265" s="641"/>
      <c r="U265" s="641"/>
      <c r="V265" s="648" t="e">
        <f t="shared" si="73"/>
        <v>#DIV/0!</v>
      </c>
      <c r="W265" s="644"/>
      <c r="X265" s="584" t="e">
        <f t="shared" si="95"/>
        <v>#DIV/0!</v>
      </c>
      <c r="Y265" s="584" t="e">
        <f t="shared" si="95"/>
        <v>#DIV/0!</v>
      </c>
      <c r="Z265" s="584" t="e">
        <f t="shared" si="95"/>
        <v>#DIV/0!</v>
      </c>
      <c r="AA265" s="584" t="e">
        <f t="shared" si="95"/>
        <v>#DIV/0!</v>
      </c>
    </row>
    <row r="266" spans="1:27" ht="22.5" hidden="1" customHeight="1" thickTop="1" thickBot="1" x14ac:dyDescent="0.3">
      <c r="A266" s="451">
        <v>1</v>
      </c>
      <c r="B266" s="451">
        <v>1</v>
      </c>
      <c r="C266" s="450" t="s">
        <v>1413</v>
      </c>
      <c r="D266" s="450" t="s">
        <v>1345</v>
      </c>
      <c r="E266" s="450" t="s">
        <v>1350</v>
      </c>
      <c r="F266" s="450" t="s">
        <v>2138</v>
      </c>
      <c r="G266" s="450" t="s">
        <v>1354</v>
      </c>
      <c r="H266" s="450" t="s">
        <v>1345</v>
      </c>
      <c r="I266" s="450" t="s">
        <v>2076</v>
      </c>
      <c r="J266" s="450"/>
      <c r="K266" s="647" t="s">
        <v>2280</v>
      </c>
      <c r="L266" s="641"/>
      <c r="M266" s="641"/>
      <c r="N266" s="641"/>
      <c r="O266" s="641">
        <f>+L266+M266-N266</f>
        <v>0</v>
      </c>
      <c r="P266" s="641"/>
      <c r="Q266" s="641"/>
      <c r="R266" s="641"/>
      <c r="S266" s="641"/>
      <c r="T266" s="641"/>
      <c r="U266" s="641"/>
      <c r="V266" s="648" t="e">
        <f t="shared" si="73"/>
        <v>#DIV/0!</v>
      </c>
      <c r="W266" s="644"/>
      <c r="X266" s="584" t="e">
        <f t="shared" si="95"/>
        <v>#DIV/0!</v>
      </c>
      <c r="Y266" s="584" t="e">
        <f t="shared" si="95"/>
        <v>#DIV/0!</v>
      </c>
      <c r="Z266" s="584" t="e">
        <f t="shared" si="95"/>
        <v>#DIV/0!</v>
      </c>
      <c r="AA266" s="584" t="e">
        <f t="shared" si="95"/>
        <v>#DIV/0!</v>
      </c>
    </row>
    <row r="267" spans="1:27" s="587" customFormat="1" ht="22.5" hidden="1" customHeight="1" thickTop="1" thickBot="1" x14ac:dyDescent="0.3">
      <c r="A267" s="633">
        <v>1</v>
      </c>
      <c r="B267" s="633">
        <v>1</v>
      </c>
      <c r="C267" s="524" t="s">
        <v>1413</v>
      </c>
      <c r="D267" s="524" t="s">
        <v>1345</v>
      </c>
      <c r="E267" s="524" t="s">
        <v>1350</v>
      </c>
      <c r="F267" s="524" t="s">
        <v>2138</v>
      </c>
      <c r="G267" s="524" t="s">
        <v>1354</v>
      </c>
      <c r="H267" s="524" t="s">
        <v>1350</v>
      </c>
      <c r="I267" s="524"/>
      <c r="J267" s="524"/>
      <c r="K267" s="634" t="s">
        <v>1387</v>
      </c>
      <c r="L267" s="635">
        <f>SUM(L268:L270)</f>
        <v>0</v>
      </c>
      <c r="M267" s="635">
        <f t="shared" ref="M267:U267" si="96">SUM(M268:M270)</f>
        <v>0</v>
      </c>
      <c r="N267" s="635">
        <f t="shared" si="96"/>
        <v>0</v>
      </c>
      <c r="O267" s="635">
        <f t="shared" si="96"/>
        <v>0</v>
      </c>
      <c r="P267" s="635">
        <f t="shared" si="96"/>
        <v>0</v>
      </c>
      <c r="Q267" s="635">
        <f t="shared" si="96"/>
        <v>0</v>
      </c>
      <c r="R267" s="635">
        <f t="shared" si="96"/>
        <v>0</v>
      </c>
      <c r="S267" s="635">
        <f t="shared" si="96"/>
        <v>0</v>
      </c>
      <c r="T267" s="635">
        <f t="shared" si="96"/>
        <v>0</v>
      </c>
      <c r="U267" s="635">
        <f t="shared" si="96"/>
        <v>0</v>
      </c>
      <c r="V267" s="636" t="e">
        <f t="shared" si="73"/>
        <v>#DIV/0!</v>
      </c>
      <c r="W267" s="637"/>
      <c r="X267" s="587" t="e">
        <f t="shared" si="95"/>
        <v>#DIV/0!</v>
      </c>
      <c r="Y267" s="587" t="e">
        <f t="shared" si="95"/>
        <v>#DIV/0!</v>
      </c>
      <c r="Z267" s="587" t="e">
        <f t="shared" si="95"/>
        <v>#DIV/0!</v>
      </c>
      <c r="AA267" s="587" t="e">
        <f t="shared" si="95"/>
        <v>#DIV/0!</v>
      </c>
    </row>
    <row r="268" spans="1:27" ht="22.5" hidden="1" customHeight="1" thickTop="1" thickBot="1" x14ac:dyDescent="0.3">
      <c r="A268" s="451">
        <v>1</v>
      </c>
      <c r="B268" s="451">
        <v>1</v>
      </c>
      <c r="C268" s="450" t="s">
        <v>1413</v>
      </c>
      <c r="D268" s="450" t="s">
        <v>1345</v>
      </c>
      <c r="E268" s="450" t="s">
        <v>1350</v>
      </c>
      <c r="F268" s="450" t="s">
        <v>2138</v>
      </c>
      <c r="G268" s="450" t="s">
        <v>1354</v>
      </c>
      <c r="H268" s="450" t="s">
        <v>1350</v>
      </c>
      <c r="I268" s="450" t="s">
        <v>1343</v>
      </c>
      <c r="J268" s="450"/>
      <c r="K268" s="647" t="s">
        <v>2281</v>
      </c>
      <c r="L268" s="641"/>
      <c r="M268" s="641"/>
      <c r="N268" s="641"/>
      <c r="O268" s="641">
        <f>+L268+M268-N268</f>
        <v>0</v>
      </c>
      <c r="P268" s="641"/>
      <c r="Q268" s="641"/>
      <c r="R268" s="641"/>
      <c r="S268" s="641"/>
      <c r="T268" s="641"/>
      <c r="U268" s="641"/>
      <c r="V268" s="648" t="e">
        <f t="shared" si="73"/>
        <v>#DIV/0!</v>
      </c>
      <c r="W268" s="644"/>
      <c r="X268" s="584" t="e">
        <f t="shared" si="95"/>
        <v>#DIV/0!</v>
      </c>
      <c r="Y268" s="584" t="e">
        <f t="shared" si="95"/>
        <v>#DIV/0!</v>
      </c>
      <c r="Z268" s="584" t="e">
        <f t="shared" si="95"/>
        <v>#DIV/0!</v>
      </c>
      <c r="AA268" s="584" t="e">
        <f t="shared" si="95"/>
        <v>#DIV/0!</v>
      </c>
    </row>
    <row r="269" spans="1:27" ht="22.5" hidden="1" customHeight="1" thickTop="1" thickBot="1" x14ac:dyDescent="0.3">
      <c r="A269" s="451">
        <v>1</v>
      </c>
      <c r="B269" s="451">
        <v>1</v>
      </c>
      <c r="C269" s="450" t="s">
        <v>1413</v>
      </c>
      <c r="D269" s="450" t="s">
        <v>1345</v>
      </c>
      <c r="E269" s="450" t="s">
        <v>1350</v>
      </c>
      <c r="F269" s="450" t="s">
        <v>2138</v>
      </c>
      <c r="G269" s="450" t="s">
        <v>1354</v>
      </c>
      <c r="H269" s="450" t="s">
        <v>1350</v>
      </c>
      <c r="I269" s="450" t="s">
        <v>1413</v>
      </c>
      <c r="J269" s="450"/>
      <c r="K269" s="647" t="s">
        <v>2282</v>
      </c>
      <c r="L269" s="641"/>
      <c r="M269" s="641"/>
      <c r="N269" s="641"/>
      <c r="O269" s="641">
        <f>+L269+M269-N269</f>
        <v>0</v>
      </c>
      <c r="P269" s="641"/>
      <c r="Q269" s="641"/>
      <c r="R269" s="641"/>
      <c r="S269" s="641"/>
      <c r="T269" s="641"/>
      <c r="U269" s="641"/>
      <c r="V269" s="648" t="e">
        <f t="shared" si="73"/>
        <v>#DIV/0!</v>
      </c>
      <c r="W269" s="644"/>
      <c r="X269" s="584" t="e">
        <f t="shared" si="95"/>
        <v>#DIV/0!</v>
      </c>
      <c r="Y269" s="584" t="e">
        <f t="shared" si="95"/>
        <v>#DIV/0!</v>
      </c>
      <c r="Z269" s="584" t="e">
        <f t="shared" si="95"/>
        <v>#DIV/0!</v>
      </c>
      <c r="AA269" s="584" t="e">
        <f t="shared" si="95"/>
        <v>#DIV/0!</v>
      </c>
    </row>
    <row r="270" spans="1:27" ht="22.5" hidden="1" customHeight="1" thickTop="1" thickBot="1" x14ac:dyDescent="0.3">
      <c r="A270" s="451">
        <v>1</v>
      </c>
      <c r="B270" s="451">
        <v>1</v>
      </c>
      <c r="C270" s="450" t="s">
        <v>1413</v>
      </c>
      <c r="D270" s="450" t="s">
        <v>1345</v>
      </c>
      <c r="E270" s="450" t="s">
        <v>1350</v>
      </c>
      <c r="F270" s="450" t="s">
        <v>2138</v>
      </c>
      <c r="G270" s="450" t="s">
        <v>1354</v>
      </c>
      <c r="H270" s="450" t="s">
        <v>1350</v>
      </c>
      <c r="I270" s="450" t="s">
        <v>2076</v>
      </c>
      <c r="J270" s="450"/>
      <c r="K270" s="647" t="s">
        <v>2283</v>
      </c>
      <c r="L270" s="641"/>
      <c r="M270" s="641"/>
      <c r="N270" s="641"/>
      <c r="O270" s="641">
        <f>+L270+M270-N270</f>
        <v>0</v>
      </c>
      <c r="P270" s="641"/>
      <c r="Q270" s="641"/>
      <c r="R270" s="641"/>
      <c r="S270" s="641"/>
      <c r="T270" s="641"/>
      <c r="U270" s="641"/>
      <c r="V270" s="648" t="e">
        <f t="shared" ref="V270:V333" si="97">+U270/T270</f>
        <v>#DIV/0!</v>
      </c>
      <c r="W270" s="644"/>
      <c r="X270" s="584" t="e">
        <f t="shared" si="95"/>
        <v>#DIV/0!</v>
      </c>
      <c r="Y270" s="584" t="e">
        <f t="shared" si="95"/>
        <v>#DIV/0!</v>
      </c>
      <c r="Z270" s="584" t="e">
        <f t="shared" si="95"/>
        <v>#DIV/0!</v>
      </c>
      <c r="AA270" s="584" t="e">
        <f t="shared" si="95"/>
        <v>#DIV/0!</v>
      </c>
    </row>
    <row r="271" spans="1:27" s="632" customFormat="1" ht="22.5" hidden="1" customHeight="1" thickTop="1" thickBot="1" x14ac:dyDescent="0.3">
      <c r="A271" s="626">
        <v>1</v>
      </c>
      <c r="B271" s="626">
        <v>1</v>
      </c>
      <c r="C271" s="449" t="s">
        <v>1413</v>
      </c>
      <c r="D271" s="449" t="s">
        <v>1345</v>
      </c>
      <c r="E271" s="449" t="s">
        <v>1350</v>
      </c>
      <c r="F271" s="449" t="s">
        <v>2160</v>
      </c>
      <c r="G271" s="449"/>
      <c r="H271" s="449"/>
      <c r="I271" s="449"/>
      <c r="J271" s="449"/>
      <c r="K271" s="627" t="s">
        <v>2284</v>
      </c>
      <c r="L271" s="628">
        <f>+L272+L276+L280</f>
        <v>0</v>
      </c>
      <c r="M271" s="628">
        <f t="shared" ref="M271:U271" si="98">+M272+M276+M280</f>
        <v>0</v>
      </c>
      <c r="N271" s="628">
        <f t="shared" si="98"/>
        <v>0</v>
      </c>
      <c r="O271" s="628">
        <f t="shared" si="98"/>
        <v>0</v>
      </c>
      <c r="P271" s="628">
        <f t="shared" si="98"/>
        <v>0</v>
      </c>
      <c r="Q271" s="628">
        <f t="shared" si="98"/>
        <v>0</v>
      </c>
      <c r="R271" s="628">
        <f t="shared" si="98"/>
        <v>0</v>
      </c>
      <c r="S271" s="628">
        <f t="shared" si="98"/>
        <v>0</v>
      </c>
      <c r="T271" s="628">
        <f t="shared" si="98"/>
        <v>0</v>
      </c>
      <c r="U271" s="628">
        <f t="shared" si="98"/>
        <v>0</v>
      </c>
      <c r="V271" s="629" t="e">
        <f t="shared" si="97"/>
        <v>#DIV/0!</v>
      </c>
      <c r="W271" s="630"/>
      <c r="X271" s="632" t="e">
        <f t="shared" si="95"/>
        <v>#DIV/0!</v>
      </c>
      <c r="Y271" s="632" t="e">
        <f t="shared" si="95"/>
        <v>#DIV/0!</v>
      </c>
      <c r="Z271" s="632" t="e">
        <f t="shared" si="95"/>
        <v>#DIV/0!</v>
      </c>
      <c r="AA271" s="632" t="e">
        <f t="shared" si="95"/>
        <v>#DIV/0!</v>
      </c>
    </row>
    <row r="272" spans="1:27" s="663" customFormat="1" ht="22.5" hidden="1" customHeight="1" thickTop="1" thickBot="1" x14ac:dyDescent="0.3">
      <c r="A272" s="655">
        <v>1</v>
      </c>
      <c r="B272" s="655">
        <v>1</v>
      </c>
      <c r="C272" s="656" t="s">
        <v>1413</v>
      </c>
      <c r="D272" s="656" t="s">
        <v>1345</v>
      </c>
      <c r="E272" s="656" t="s">
        <v>1350</v>
      </c>
      <c r="F272" s="656" t="s">
        <v>2160</v>
      </c>
      <c r="G272" s="656" t="s">
        <v>1345</v>
      </c>
      <c r="H272" s="656"/>
      <c r="I272" s="656"/>
      <c r="J272" s="656"/>
      <c r="K272" s="658" t="s">
        <v>2285</v>
      </c>
      <c r="L272" s="659">
        <f>SUM(L273:L275)</f>
        <v>0</v>
      </c>
      <c r="M272" s="659">
        <f t="shared" ref="M272:U272" si="99">SUM(M273:M275)</f>
        <v>0</v>
      </c>
      <c r="N272" s="659">
        <f t="shared" si="99"/>
        <v>0</v>
      </c>
      <c r="O272" s="659">
        <f t="shared" si="99"/>
        <v>0</v>
      </c>
      <c r="P272" s="659">
        <f t="shared" si="99"/>
        <v>0</v>
      </c>
      <c r="Q272" s="659">
        <f t="shared" si="99"/>
        <v>0</v>
      </c>
      <c r="R272" s="659">
        <f t="shared" si="99"/>
        <v>0</v>
      </c>
      <c r="S272" s="659">
        <f t="shared" si="99"/>
        <v>0</v>
      </c>
      <c r="T272" s="659">
        <f t="shared" si="99"/>
        <v>0</v>
      </c>
      <c r="U272" s="659">
        <f t="shared" si="99"/>
        <v>0</v>
      </c>
      <c r="V272" s="660" t="e">
        <f t="shared" si="97"/>
        <v>#DIV/0!</v>
      </c>
      <c r="W272" s="661"/>
      <c r="X272" s="663" t="e">
        <f t="shared" si="95"/>
        <v>#DIV/0!</v>
      </c>
      <c r="Y272" s="663" t="e">
        <f t="shared" si="95"/>
        <v>#DIV/0!</v>
      </c>
      <c r="Z272" s="663" t="e">
        <f t="shared" si="95"/>
        <v>#DIV/0!</v>
      </c>
      <c r="AA272" s="663" t="e">
        <f t="shared" si="95"/>
        <v>#DIV/0!</v>
      </c>
    </row>
    <row r="273" spans="1:27" ht="22.5" hidden="1" customHeight="1" thickTop="1" thickBot="1" x14ac:dyDescent="0.3">
      <c r="A273" s="451">
        <v>1</v>
      </c>
      <c r="B273" s="451">
        <v>1</v>
      </c>
      <c r="C273" s="450" t="s">
        <v>1413</v>
      </c>
      <c r="D273" s="450" t="s">
        <v>1345</v>
      </c>
      <c r="E273" s="450" t="s">
        <v>1350</v>
      </c>
      <c r="F273" s="450" t="s">
        <v>2160</v>
      </c>
      <c r="G273" s="450" t="s">
        <v>1345</v>
      </c>
      <c r="H273" s="450" t="s">
        <v>1343</v>
      </c>
      <c r="I273" s="450"/>
      <c r="J273" s="450"/>
      <c r="K273" s="647" t="s">
        <v>2286</v>
      </c>
      <c r="L273" s="641"/>
      <c r="M273" s="641"/>
      <c r="N273" s="641"/>
      <c r="O273" s="641">
        <f>+L273+M273-N273</f>
        <v>0</v>
      </c>
      <c r="P273" s="641"/>
      <c r="Q273" s="641"/>
      <c r="R273" s="641"/>
      <c r="S273" s="641"/>
      <c r="T273" s="641"/>
      <c r="U273" s="641"/>
      <c r="V273" s="648" t="e">
        <f t="shared" si="97"/>
        <v>#DIV/0!</v>
      </c>
      <c r="W273" s="644"/>
      <c r="X273" s="584" t="e">
        <f t="shared" si="95"/>
        <v>#DIV/0!</v>
      </c>
      <c r="Y273" s="584" t="e">
        <f t="shared" si="95"/>
        <v>#DIV/0!</v>
      </c>
      <c r="Z273" s="584" t="e">
        <f t="shared" si="95"/>
        <v>#DIV/0!</v>
      </c>
      <c r="AA273" s="584" t="e">
        <f t="shared" si="95"/>
        <v>#DIV/0!</v>
      </c>
    </row>
    <row r="274" spans="1:27" ht="22.5" hidden="1" customHeight="1" thickTop="1" thickBot="1" x14ac:dyDescent="0.3">
      <c r="A274" s="451">
        <v>1</v>
      </c>
      <c r="B274" s="451">
        <v>1</v>
      </c>
      <c r="C274" s="450" t="s">
        <v>1413</v>
      </c>
      <c r="D274" s="450" t="s">
        <v>1345</v>
      </c>
      <c r="E274" s="450" t="s">
        <v>1350</v>
      </c>
      <c r="F274" s="450" t="s">
        <v>2160</v>
      </c>
      <c r="G274" s="450" t="s">
        <v>1345</v>
      </c>
      <c r="H274" s="450" t="s">
        <v>1413</v>
      </c>
      <c r="I274" s="450"/>
      <c r="J274" s="450"/>
      <c r="K274" s="647" t="s">
        <v>2287</v>
      </c>
      <c r="L274" s="641"/>
      <c r="M274" s="641"/>
      <c r="N274" s="641"/>
      <c r="O274" s="641">
        <f>+L274+M274-N274</f>
        <v>0</v>
      </c>
      <c r="P274" s="641"/>
      <c r="Q274" s="641"/>
      <c r="R274" s="641"/>
      <c r="S274" s="641"/>
      <c r="T274" s="641"/>
      <c r="U274" s="641"/>
      <c r="V274" s="648" t="e">
        <f t="shared" si="97"/>
        <v>#DIV/0!</v>
      </c>
      <c r="W274" s="644"/>
      <c r="X274" s="584" t="e">
        <f t="shared" si="95"/>
        <v>#DIV/0!</v>
      </c>
      <c r="Y274" s="584" t="e">
        <f t="shared" si="95"/>
        <v>#DIV/0!</v>
      </c>
      <c r="Z274" s="584" t="e">
        <f t="shared" si="95"/>
        <v>#DIV/0!</v>
      </c>
      <c r="AA274" s="584" t="e">
        <f t="shared" si="95"/>
        <v>#DIV/0!</v>
      </c>
    </row>
    <row r="275" spans="1:27" ht="22.5" hidden="1" customHeight="1" thickTop="1" thickBot="1" x14ac:dyDescent="0.3">
      <c r="A275" s="451">
        <v>1</v>
      </c>
      <c r="B275" s="451">
        <v>1</v>
      </c>
      <c r="C275" s="450" t="s">
        <v>1413</v>
      </c>
      <c r="D275" s="450" t="s">
        <v>1345</v>
      </c>
      <c r="E275" s="450" t="s">
        <v>1350</v>
      </c>
      <c r="F275" s="450" t="s">
        <v>2160</v>
      </c>
      <c r="G275" s="450" t="s">
        <v>1345</v>
      </c>
      <c r="H275" s="450" t="s">
        <v>2076</v>
      </c>
      <c r="I275" s="450"/>
      <c r="J275" s="450"/>
      <c r="K275" s="647" t="s">
        <v>2288</v>
      </c>
      <c r="L275" s="641"/>
      <c r="M275" s="641"/>
      <c r="N275" s="641"/>
      <c r="O275" s="641">
        <f>+L275+M275-N275</f>
        <v>0</v>
      </c>
      <c r="P275" s="641"/>
      <c r="Q275" s="641"/>
      <c r="R275" s="641"/>
      <c r="S275" s="641"/>
      <c r="T275" s="641"/>
      <c r="U275" s="641"/>
      <c r="V275" s="648" t="e">
        <f t="shared" si="97"/>
        <v>#DIV/0!</v>
      </c>
      <c r="W275" s="644"/>
      <c r="X275" s="584" t="e">
        <f t="shared" si="95"/>
        <v>#DIV/0!</v>
      </c>
      <c r="Y275" s="584" t="e">
        <f t="shared" si="95"/>
        <v>#DIV/0!</v>
      </c>
      <c r="Z275" s="584" t="e">
        <f t="shared" si="95"/>
        <v>#DIV/0!</v>
      </c>
      <c r="AA275" s="584" t="e">
        <f t="shared" si="95"/>
        <v>#DIV/0!</v>
      </c>
    </row>
    <row r="276" spans="1:27" s="663" customFormat="1" ht="22.5" hidden="1" customHeight="1" thickTop="1" thickBot="1" x14ac:dyDescent="0.3">
      <c r="A276" s="655">
        <v>1</v>
      </c>
      <c r="B276" s="655">
        <v>1</v>
      </c>
      <c r="C276" s="656" t="s">
        <v>1413</v>
      </c>
      <c r="D276" s="656" t="s">
        <v>1345</v>
      </c>
      <c r="E276" s="656" t="s">
        <v>1350</v>
      </c>
      <c r="F276" s="656" t="s">
        <v>2160</v>
      </c>
      <c r="G276" s="656" t="s">
        <v>1350</v>
      </c>
      <c r="H276" s="656"/>
      <c r="I276" s="656"/>
      <c r="J276" s="656"/>
      <c r="K276" s="658" t="s">
        <v>2289</v>
      </c>
      <c r="L276" s="659">
        <f>SUM(L277:L279)</f>
        <v>0</v>
      </c>
      <c r="M276" s="659">
        <f t="shared" ref="M276:U276" si="100">SUM(M277:M279)</f>
        <v>0</v>
      </c>
      <c r="N276" s="659">
        <f t="shared" si="100"/>
        <v>0</v>
      </c>
      <c r="O276" s="659">
        <f t="shared" si="100"/>
        <v>0</v>
      </c>
      <c r="P276" s="659">
        <f t="shared" si="100"/>
        <v>0</v>
      </c>
      <c r="Q276" s="659">
        <f t="shared" si="100"/>
        <v>0</v>
      </c>
      <c r="R276" s="659">
        <f t="shared" si="100"/>
        <v>0</v>
      </c>
      <c r="S276" s="659">
        <f t="shared" si="100"/>
        <v>0</v>
      </c>
      <c r="T276" s="659">
        <f t="shared" si="100"/>
        <v>0</v>
      </c>
      <c r="U276" s="659">
        <f t="shared" si="100"/>
        <v>0</v>
      </c>
      <c r="V276" s="660" t="e">
        <f t="shared" si="97"/>
        <v>#DIV/0!</v>
      </c>
      <c r="W276" s="661"/>
      <c r="X276" s="663" t="e">
        <f t="shared" si="95"/>
        <v>#DIV/0!</v>
      </c>
      <c r="Y276" s="663" t="e">
        <f t="shared" si="95"/>
        <v>#DIV/0!</v>
      </c>
      <c r="Z276" s="663" t="e">
        <f t="shared" si="95"/>
        <v>#DIV/0!</v>
      </c>
      <c r="AA276" s="663" t="e">
        <f t="shared" si="95"/>
        <v>#DIV/0!</v>
      </c>
    </row>
    <row r="277" spans="1:27" ht="22.5" hidden="1" customHeight="1" thickTop="1" thickBot="1" x14ac:dyDescent="0.3">
      <c r="A277" s="451">
        <v>1</v>
      </c>
      <c r="B277" s="451">
        <v>1</v>
      </c>
      <c r="C277" s="450" t="s">
        <v>1413</v>
      </c>
      <c r="D277" s="450" t="s">
        <v>1345</v>
      </c>
      <c r="E277" s="450" t="s">
        <v>1350</v>
      </c>
      <c r="F277" s="450" t="s">
        <v>2160</v>
      </c>
      <c r="G277" s="450" t="s">
        <v>1350</v>
      </c>
      <c r="H277" s="450" t="s">
        <v>1343</v>
      </c>
      <c r="I277" s="450"/>
      <c r="J277" s="450"/>
      <c r="K277" s="647" t="s">
        <v>2290</v>
      </c>
      <c r="L277" s="641"/>
      <c r="M277" s="641"/>
      <c r="N277" s="641"/>
      <c r="O277" s="641">
        <f>+L277+M277-N277</f>
        <v>0</v>
      </c>
      <c r="P277" s="641"/>
      <c r="Q277" s="641"/>
      <c r="R277" s="641"/>
      <c r="S277" s="641"/>
      <c r="T277" s="641"/>
      <c r="U277" s="641"/>
      <c r="V277" s="648" t="e">
        <f t="shared" si="97"/>
        <v>#DIV/0!</v>
      </c>
      <c r="W277" s="644"/>
      <c r="X277" s="584" t="e">
        <f t="shared" si="95"/>
        <v>#DIV/0!</v>
      </c>
      <c r="Y277" s="584" t="e">
        <f t="shared" si="95"/>
        <v>#DIV/0!</v>
      </c>
      <c r="Z277" s="584" t="e">
        <f t="shared" si="95"/>
        <v>#DIV/0!</v>
      </c>
      <c r="AA277" s="584" t="e">
        <f t="shared" si="95"/>
        <v>#DIV/0!</v>
      </c>
    </row>
    <row r="278" spans="1:27" ht="22.5" hidden="1" customHeight="1" thickTop="1" thickBot="1" x14ac:dyDescent="0.3">
      <c r="A278" s="451">
        <v>1</v>
      </c>
      <c r="B278" s="451">
        <v>1</v>
      </c>
      <c r="C278" s="450" t="s">
        <v>1413</v>
      </c>
      <c r="D278" s="450" t="s">
        <v>1345</v>
      </c>
      <c r="E278" s="450" t="s">
        <v>1350</v>
      </c>
      <c r="F278" s="450" t="s">
        <v>2160</v>
      </c>
      <c r="G278" s="450" t="s">
        <v>1350</v>
      </c>
      <c r="H278" s="450" t="s">
        <v>1413</v>
      </c>
      <c r="I278" s="450"/>
      <c r="J278" s="450"/>
      <c r="K278" s="647" t="s">
        <v>2291</v>
      </c>
      <c r="L278" s="641"/>
      <c r="M278" s="641"/>
      <c r="N278" s="641"/>
      <c r="O278" s="641">
        <f>+L278+M278-N278</f>
        <v>0</v>
      </c>
      <c r="P278" s="641"/>
      <c r="Q278" s="641"/>
      <c r="R278" s="641"/>
      <c r="S278" s="641"/>
      <c r="T278" s="641"/>
      <c r="U278" s="641"/>
      <c r="V278" s="648" t="e">
        <f t="shared" si="97"/>
        <v>#DIV/0!</v>
      </c>
      <c r="W278" s="644"/>
      <c r="X278" s="584" t="e">
        <f t="shared" si="95"/>
        <v>#DIV/0!</v>
      </c>
      <c r="Y278" s="584" t="e">
        <f t="shared" si="95"/>
        <v>#DIV/0!</v>
      </c>
      <c r="Z278" s="584" t="e">
        <f t="shared" si="95"/>
        <v>#DIV/0!</v>
      </c>
      <c r="AA278" s="584" t="e">
        <f t="shared" si="95"/>
        <v>#DIV/0!</v>
      </c>
    </row>
    <row r="279" spans="1:27" ht="22.5" hidden="1" customHeight="1" thickTop="1" thickBot="1" x14ac:dyDescent="0.3">
      <c r="A279" s="451">
        <v>1</v>
      </c>
      <c r="B279" s="451">
        <v>1</v>
      </c>
      <c r="C279" s="450" t="s">
        <v>1413</v>
      </c>
      <c r="D279" s="450" t="s">
        <v>1345</v>
      </c>
      <c r="E279" s="450" t="s">
        <v>1350</v>
      </c>
      <c r="F279" s="450" t="s">
        <v>2160</v>
      </c>
      <c r="G279" s="450" t="s">
        <v>1350</v>
      </c>
      <c r="H279" s="450" t="s">
        <v>2076</v>
      </c>
      <c r="I279" s="450"/>
      <c r="J279" s="450"/>
      <c r="K279" s="647" t="s">
        <v>2292</v>
      </c>
      <c r="L279" s="641"/>
      <c r="M279" s="641"/>
      <c r="N279" s="641"/>
      <c r="O279" s="641">
        <f>+L279+M279-N279</f>
        <v>0</v>
      </c>
      <c r="P279" s="641"/>
      <c r="Q279" s="641"/>
      <c r="R279" s="641"/>
      <c r="S279" s="641"/>
      <c r="T279" s="641"/>
      <c r="U279" s="641"/>
      <c r="V279" s="648" t="e">
        <f t="shared" si="97"/>
        <v>#DIV/0!</v>
      </c>
      <c r="W279" s="644"/>
      <c r="X279" s="584" t="e">
        <f t="shared" si="95"/>
        <v>#DIV/0!</v>
      </c>
      <c r="Y279" s="584" t="e">
        <f t="shared" si="95"/>
        <v>#DIV/0!</v>
      </c>
      <c r="Z279" s="584" t="e">
        <f t="shared" si="95"/>
        <v>#DIV/0!</v>
      </c>
      <c r="AA279" s="584" t="e">
        <f t="shared" si="95"/>
        <v>#DIV/0!</v>
      </c>
    </row>
    <row r="280" spans="1:27" s="663" customFormat="1" ht="22.5" hidden="1" customHeight="1" thickTop="1" thickBot="1" x14ac:dyDescent="0.3">
      <c r="A280" s="655">
        <v>1</v>
      </c>
      <c r="B280" s="655">
        <v>1</v>
      </c>
      <c r="C280" s="656" t="s">
        <v>1413</v>
      </c>
      <c r="D280" s="656" t="s">
        <v>1345</v>
      </c>
      <c r="E280" s="656" t="s">
        <v>1350</v>
      </c>
      <c r="F280" s="656" t="s">
        <v>2160</v>
      </c>
      <c r="G280" s="656" t="s">
        <v>1354</v>
      </c>
      <c r="H280" s="656"/>
      <c r="I280" s="656"/>
      <c r="J280" s="656"/>
      <c r="K280" s="658" t="s">
        <v>2293</v>
      </c>
      <c r="L280" s="659">
        <f>SUM(L281:L283)</f>
        <v>0</v>
      </c>
      <c r="M280" s="659">
        <f t="shared" ref="M280:U280" si="101">SUM(M281:M283)</f>
        <v>0</v>
      </c>
      <c r="N280" s="659">
        <f t="shared" si="101"/>
        <v>0</v>
      </c>
      <c r="O280" s="659">
        <f t="shared" si="101"/>
        <v>0</v>
      </c>
      <c r="P280" s="659">
        <f t="shared" si="101"/>
        <v>0</v>
      </c>
      <c r="Q280" s="659">
        <f t="shared" si="101"/>
        <v>0</v>
      </c>
      <c r="R280" s="659">
        <f t="shared" si="101"/>
        <v>0</v>
      </c>
      <c r="S280" s="659">
        <f t="shared" si="101"/>
        <v>0</v>
      </c>
      <c r="T280" s="659">
        <f t="shared" si="101"/>
        <v>0</v>
      </c>
      <c r="U280" s="659">
        <f t="shared" si="101"/>
        <v>0</v>
      </c>
      <c r="V280" s="660" t="e">
        <f t="shared" si="97"/>
        <v>#DIV/0!</v>
      </c>
      <c r="W280" s="661"/>
      <c r="X280" s="663" t="e">
        <f t="shared" si="95"/>
        <v>#DIV/0!</v>
      </c>
      <c r="Y280" s="663" t="e">
        <f t="shared" si="95"/>
        <v>#DIV/0!</v>
      </c>
      <c r="Z280" s="663" t="e">
        <f t="shared" si="95"/>
        <v>#DIV/0!</v>
      </c>
      <c r="AA280" s="663" t="e">
        <f t="shared" si="95"/>
        <v>#DIV/0!</v>
      </c>
    </row>
    <row r="281" spans="1:27" ht="22.5" hidden="1" customHeight="1" thickTop="1" thickBot="1" x14ac:dyDescent="0.3">
      <c r="A281" s="451">
        <v>1</v>
      </c>
      <c r="B281" s="451">
        <v>1</v>
      </c>
      <c r="C281" s="450" t="s">
        <v>1413</v>
      </c>
      <c r="D281" s="450" t="s">
        <v>1345</v>
      </c>
      <c r="E281" s="450" t="s">
        <v>1350</v>
      </c>
      <c r="F281" s="450" t="s">
        <v>2160</v>
      </c>
      <c r="G281" s="450" t="s">
        <v>1354</v>
      </c>
      <c r="H281" s="450" t="s">
        <v>1343</v>
      </c>
      <c r="I281" s="450"/>
      <c r="J281" s="450"/>
      <c r="K281" s="647" t="s">
        <v>2294</v>
      </c>
      <c r="L281" s="641"/>
      <c r="M281" s="641"/>
      <c r="N281" s="641"/>
      <c r="O281" s="641">
        <f>+L281+M281-N281</f>
        <v>0</v>
      </c>
      <c r="P281" s="641"/>
      <c r="Q281" s="641"/>
      <c r="R281" s="641"/>
      <c r="S281" s="641"/>
      <c r="T281" s="641"/>
      <c r="U281" s="641"/>
      <c r="V281" s="648" t="e">
        <f t="shared" si="97"/>
        <v>#DIV/0!</v>
      </c>
      <c r="W281" s="644"/>
      <c r="X281" s="584" t="e">
        <f t="shared" si="95"/>
        <v>#DIV/0!</v>
      </c>
      <c r="Y281" s="584" t="e">
        <f t="shared" si="95"/>
        <v>#DIV/0!</v>
      </c>
      <c r="Z281" s="584" t="e">
        <f t="shared" si="95"/>
        <v>#DIV/0!</v>
      </c>
      <c r="AA281" s="584" t="e">
        <f t="shared" si="95"/>
        <v>#DIV/0!</v>
      </c>
    </row>
    <row r="282" spans="1:27" ht="22.5" hidden="1" customHeight="1" thickTop="1" thickBot="1" x14ac:dyDescent="0.3">
      <c r="A282" s="451">
        <v>1</v>
      </c>
      <c r="B282" s="451">
        <v>1</v>
      </c>
      <c r="C282" s="450" t="s">
        <v>1413</v>
      </c>
      <c r="D282" s="450" t="s">
        <v>1345</v>
      </c>
      <c r="E282" s="450" t="s">
        <v>1350</v>
      </c>
      <c r="F282" s="450" t="s">
        <v>2160</v>
      </c>
      <c r="G282" s="450" t="s">
        <v>1354</v>
      </c>
      <c r="H282" s="450" t="s">
        <v>1413</v>
      </c>
      <c r="I282" s="450"/>
      <c r="J282" s="450"/>
      <c r="K282" s="647" t="s">
        <v>2295</v>
      </c>
      <c r="L282" s="641"/>
      <c r="M282" s="641"/>
      <c r="N282" s="641"/>
      <c r="O282" s="641">
        <f>+L282+M282-N282</f>
        <v>0</v>
      </c>
      <c r="P282" s="641"/>
      <c r="Q282" s="641"/>
      <c r="R282" s="641"/>
      <c r="S282" s="641"/>
      <c r="T282" s="641"/>
      <c r="U282" s="641"/>
      <c r="V282" s="648" t="e">
        <f t="shared" si="97"/>
        <v>#DIV/0!</v>
      </c>
      <c r="W282" s="644"/>
      <c r="X282" s="584" t="e">
        <f t="shared" si="95"/>
        <v>#DIV/0!</v>
      </c>
      <c r="Y282" s="584" t="e">
        <f t="shared" si="95"/>
        <v>#DIV/0!</v>
      </c>
      <c r="Z282" s="584" t="e">
        <f t="shared" si="95"/>
        <v>#DIV/0!</v>
      </c>
      <c r="AA282" s="584" t="e">
        <f t="shared" si="95"/>
        <v>#DIV/0!</v>
      </c>
    </row>
    <row r="283" spans="1:27" ht="22.5" hidden="1" customHeight="1" thickTop="1" thickBot="1" x14ac:dyDescent="0.3">
      <c r="A283" s="451">
        <v>1</v>
      </c>
      <c r="B283" s="451">
        <v>1</v>
      </c>
      <c r="C283" s="450" t="s">
        <v>1413</v>
      </c>
      <c r="D283" s="450" t="s">
        <v>1345</v>
      </c>
      <c r="E283" s="450" t="s">
        <v>1350</v>
      </c>
      <c r="F283" s="450" t="s">
        <v>2160</v>
      </c>
      <c r="G283" s="450" t="s">
        <v>1354</v>
      </c>
      <c r="H283" s="450" t="s">
        <v>2076</v>
      </c>
      <c r="I283" s="450"/>
      <c r="J283" s="450"/>
      <c r="K283" s="647" t="s">
        <v>2296</v>
      </c>
      <c r="L283" s="641"/>
      <c r="M283" s="641"/>
      <c r="N283" s="641"/>
      <c r="O283" s="641">
        <f>+L283+M283-N283</f>
        <v>0</v>
      </c>
      <c r="P283" s="641"/>
      <c r="Q283" s="641"/>
      <c r="R283" s="641"/>
      <c r="S283" s="641"/>
      <c r="T283" s="641"/>
      <c r="U283" s="641"/>
      <c r="V283" s="648" t="e">
        <f t="shared" si="97"/>
        <v>#DIV/0!</v>
      </c>
      <c r="W283" s="644"/>
      <c r="X283" s="584" t="e">
        <f t="shared" si="95"/>
        <v>#DIV/0!</v>
      </c>
      <c r="Y283" s="584" t="e">
        <f t="shared" si="95"/>
        <v>#DIV/0!</v>
      </c>
      <c r="Z283" s="584" t="e">
        <f t="shared" si="95"/>
        <v>#DIV/0!</v>
      </c>
      <c r="AA283" s="584" t="e">
        <f t="shared" si="95"/>
        <v>#DIV/0!</v>
      </c>
    </row>
    <row r="284" spans="1:27" s="632" customFormat="1" ht="22.5" hidden="1" customHeight="1" thickTop="1" thickBot="1" x14ac:dyDescent="0.3">
      <c r="A284" s="626">
        <v>1</v>
      </c>
      <c r="B284" s="626">
        <v>1</v>
      </c>
      <c r="C284" s="449" t="s">
        <v>1413</v>
      </c>
      <c r="D284" s="449" t="s">
        <v>1345</v>
      </c>
      <c r="E284" s="449" t="s">
        <v>1350</v>
      </c>
      <c r="F284" s="449" t="s">
        <v>2214</v>
      </c>
      <c r="G284" s="449"/>
      <c r="H284" s="449"/>
      <c r="I284" s="449"/>
      <c r="J284" s="449"/>
      <c r="K284" s="627" t="s">
        <v>1388</v>
      </c>
      <c r="L284" s="628">
        <f>+L285+L289</f>
        <v>0</v>
      </c>
      <c r="M284" s="628">
        <f t="shared" ref="M284:U284" si="102">+M285+M289</f>
        <v>0</v>
      </c>
      <c r="N284" s="628">
        <f t="shared" si="102"/>
        <v>0</v>
      </c>
      <c r="O284" s="628">
        <f t="shared" si="102"/>
        <v>0</v>
      </c>
      <c r="P284" s="628">
        <f t="shared" si="102"/>
        <v>0</v>
      </c>
      <c r="Q284" s="628">
        <f t="shared" si="102"/>
        <v>0</v>
      </c>
      <c r="R284" s="628">
        <f t="shared" si="102"/>
        <v>0</v>
      </c>
      <c r="S284" s="628">
        <f t="shared" si="102"/>
        <v>0</v>
      </c>
      <c r="T284" s="628">
        <f t="shared" si="102"/>
        <v>0</v>
      </c>
      <c r="U284" s="628">
        <f t="shared" si="102"/>
        <v>0</v>
      </c>
      <c r="V284" s="629" t="e">
        <f t="shared" si="97"/>
        <v>#DIV/0!</v>
      </c>
      <c r="W284" s="630"/>
      <c r="X284" s="632" t="e">
        <f t="shared" si="95"/>
        <v>#DIV/0!</v>
      </c>
      <c r="Y284" s="632" t="e">
        <f t="shared" si="95"/>
        <v>#DIV/0!</v>
      </c>
      <c r="Z284" s="632" t="e">
        <f t="shared" si="95"/>
        <v>#DIV/0!</v>
      </c>
      <c r="AA284" s="632" t="e">
        <f t="shared" si="95"/>
        <v>#DIV/0!</v>
      </c>
    </row>
    <row r="285" spans="1:27" s="663" customFormat="1" ht="22.5" hidden="1" customHeight="1" thickTop="1" thickBot="1" x14ac:dyDescent="0.3">
      <c r="A285" s="655">
        <v>1</v>
      </c>
      <c r="B285" s="655">
        <v>1</v>
      </c>
      <c r="C285" s="656" t="s">
        <v>1413</v>
      </c>
      <c r="D285" s="656" t="s">
        <v>1345</v>
      </c>
      <c r="E285" s="656" t="s">
        <v>1350</v>
      </c>
      <c r="F285" s="656" t="s">
        <v>2214</v>
      </c>
      <c r="G285" s="656" t="s">
        <v>1345</v>
      </c>
      <c r="H285" s="656"/>
      <c r="I285" s="656"/>
      <c r="J285" s="656"/>
      <c r="K285" s="658" t="s">
        <v>1389</v>
      </c>
      <c r="L285" s="659">
        <f>SUM(L286:L288)</f>
        <v>0</v>
      </c>
      <c r="M285" s="659">
        <f t="shared" ref="M285:U285" si="103">SUM(M286:M288)</f>
        <v>0</v>
      </c>
      <c r="N285" s="659">
        <f t="shared" si="103"/>
        <v>0</v>
      </c>
      <c r="O285" s="659">
        <f t="shared" si="103"/>
        <v>0</v>
      </c>
      <c r="P285" s="659">
        <f t="shared" si="103"/>
        <v>0</v>
      </c>
      <c r="Q285" s="659">
        <f t="shared" si="103"/>
        <v>0</v>
      </c>
      <c r="R285" s="659">
        <f t="shared" si="103"/>
        <v>0</v>
      </c>
      <c r="S285" s="659">
        <f t="shared" si="103"/>
        <v>0</v>
      </c>
      <c r="T285" s="659">
        <f t="shared" si="103"/>
        <v>0</v>
      </c>
      <c r="U285" s="659">
        <f t="shared" si="103"/>
        <v>0</v>
      </c>
      <c r="V285" s="660" t="e">
        <f t="shared" si="97"/>
        <v>#DIV/0!</v>
      </c>
      <c r="W285" s="661"/>
      <c r="X285" s="663" t="e">
        <f t="shared" si="95"/>
        <v>#DIV/0!</v>
      </c>
      <c r="Y285" s="663" t="e">
        <f t="shared" si="95"/>
        <v>#DIV/0!</v>
      </c>
      <c r="Z285" s="663" t="e">
        <f t="shared" si="95"/>
        <v>#DIV/0!</v>
      </c>
      <c r="AA285" s="663" t="e">
        <f t="shared" si="95"/>
        <v>#DIV/0!</v>
      </c>
    </row>
    <row r="286" spans="1:27" ht="22.5" hidden="1" customHeight="1" thickTop="1" thickBot="1" x14ac:dyDescent="0.3">
      <c r="A286" s="451">
        <v>1</v>
      </c>
      <c r="B286" s="451">
        <v>1</v>
      </c>
      <c r="C286" s="450" t="s">
        <v>1413</v>
      </c>
      <c r="D286" s="450" t="s">
        <v>1345</v>
      </c>
      <c r="E286" s="450" t="s">
        <v>1350</v>
      </c>
      <c r="F286" s="450" t="s">
        <v>2214</v>
      </c>
      <c r="G286" s="450" t="s">
        <v>1345</v>
      </c>
      <c r="H286" s="450" t="s">
        <v>1343</v>
      </c>
      <c r="I286" s="450"/>
      <c r="J286" s="450"/>
      <c r="K286" s="647" t="s">
        <v>2297</v>
      </c>
      <c r="L286" s="641"/>
      <c r="M286" s="641"/>
      <c r="N286" s="641"/>
      <c r="O286" s="641">
        <f>+L286+M286-N286</f>
        <v>0</v>
      </c>
      <c r="P286" s="641"/>
      <c r="Q286" s="641"/>
      <c r="R286" s="641"/>
      <c r="S286" s="641"/>
      <c r="T286" s="641"/>
      <c r="U286" s="641"/>
      <c r="V286" s="648" t="e">
        <f t="shared" si="97"/>
        <v>#DIV/0!</v>
      </c>
      <c r="W286" s="644"/>
      <c r="X286" s="584" t="e">
        <f t="shared" si="95"/>
        <v>#DIV/0!</v>
      </c>
      <c r="Y286" s="584" t="e">
        <f t="shared" si="95"/>
        <v>#DIV/0!</v>
      </c>
      <c r="Z286" s="584" t="e">
        <f t="shared" si="95"/>
        <v>#DIV/0!</v>
      </c>
      <c r="AA286" s="584" t="e">
        <f t="shared" si="95"/>
        <v>#DIV/0!</v>
      </c>
    </row>
    <row r="287" spans="1:27" ht="22.5" hidden="1" customHeight="1" thickTop="1" thickBot="1" x14ac:dyDescent="0.3">
      <c r="A287" s="451">
        <v>1</v>
      </c>
      <c r="B287" s="451">
        <v>1</v>
      </c>
      <c r="C287" s="450" t="s">
        <v>1413</v>
      </c>
      <c r="D287" s="450" t="s">
        <v>1345</v>
      </c>
      <c r="E287" s="450" t="s">
        <v>1350</v>
      </c>
      <c r="F287" s="450" t="s">
        <v>2214</v>
      </c>
      <c r="G287" s="450" t="s">
        <v>1345</v>
      </c>
      <c r="H287" s="450" t="s">
        <v>1413</v>
      </c>
      <c r="I287" s="450"/>
      <c r="J287" s="450"/>
      <c r="K287" s="647" t="s">
        <v>2298</v>
      </c>
      <c r="L287" s="641"/>
      <c r="M287" s="641"/>
      <c r="N287" s="641"/>
      <c r="O287" s="641">
        <f>+L287+M287-N287</f>
        <v>0</v>
      </c>
      <c r="P287" s="641"/>
      <c r="Q287" s="641"/>
      <c r="R287" s="641"/>
      <c r="S287" s="641"/>
      <c r="T287" s="641"/>
      <c r="U287" s="641"/>
      <c r="V287" s="648" t="e">
        <f t="shared" si="97"/>
        <v>#DIV/0!</v>
      </c>
      <c r="W287" s="644"/>
      <c r="X287" s="584" t="e">
        <f t="shared" si="95"/>
        <v>#DIV/0!</v>
      </c>
      <c r="Y287" s="584" t="e">
        <f t="shared" si="95"/>
        <v>#DIV/0!</v>
      </c>
      <c r="Z287" s="584" t="e">
        <f t="shared" si="95"/>
        <v>#DIV/0!</v>
      </c>
      <c r="AA287" s="584" t="e">
        <f t="shared" si="95"/>
        <v>#DIV/0!</v>
      </c>
    </row>
    <row r="288" spans="1:27" ht="22.5" hidden="1" customHeight="1" thickTop="1" thickBot="1" x14ac:dyDescent="0.3">
      <c r="A288" s="451">
        <v>1</v>
      </c>
      <c r="B288" s="451">
        <v>1</v>
      </c>
      <c r="C288" s="450" t="s">
        <v>1413</v>
      </c>
      <c r="D288" s="450" t="s">
        <v>1345</v>
      </c>
      <c r="E288" s="450" t="s">
        <v>1350</v>
      </c>
      <c r="F288" s="450" t="s">
        <v>2214</v>
      </c>
      <c r="G288" s="450" t="s">
        <v>1345</v>
      </c>
      <c r="H288" s="450" t="s">
        <v>2076</v>
      </c>
      <c r="I288" s="450"/>
      <c r="J288" s="450"/>
      <c r="K288" s="647" t="s">
        <v>2299</v>
      </c>
      <c r="L288" s="641"/>
      <c r="M288" s="641"/>
      <c r="N288" s="641"/>
      <c r="O288" s="641">
        <f>+L288+M288-N288</f>
        <v>0</v>
      </c>
      <c r="P288" s="641"/>
      <c r="Q288" s="641"/>
      <c r="R288" s="641"/>
      <c r="S288" s="641"/>
      <c r="T288" s="641"/>
      <c r="U288" s="641"/>
      <c r="V288" s="648" t="e">
        <f t="shared" si="97"/>
        <v>#DIV/0!</v>
      </c>
      <c r="W288" s="644"/>
      <c r="X288" s="584" t="e">
        <f t="shared" si="95"/>
        <v>#DIV/0!</v>
      </c>
      <c r="Y288" s="584" t="e">
        <f t="shared" si="95"/>
        <v>#DIV/0!</v>
      </c>
      <c r="Z288" s="584" t="e">
        <f t="shared" si="95"/>
        <v>#DIV/0!</v>
      </c>
      <c r="AA288" s="584" t="e">
        <f t="shared" si="95"/>
        <v>#DIV/0!</v>
      </c>
    </row>
    <row r="289" spans="1:27" s="663" customFormat="1" ht="22.5" hidden="1" customHeight="1" thickTop="1" thickBot="1" x14ac:dyDescent="0.3">
      <c r="A289" s="655">
        <v>1</v>
      </c>
      <c r="B289" s="655">
        <v>1</v>
      </c>
      <c r="C289" s="656" t="s">
        <v>1413</v>
      </c>
      <c r="D289" s="656" t="s">
        <v>1345</v>
      </c>
      <c r="E289" s="656" t="s">
        <v>1350</v>
      </c>
      <c r="F289" s="656" t="s">
        <v>2214</v>
      </c>
      <c r="G289" s="656" t="s">
        <v>1350</v>
      </c>
      <c r="H289" s="656"/>
      <c r="I289" s="656"/>
      <c r="J289" s="656"/>
      <c r="K289" s="658" t="s">
        <v>1875</v>
      </c>
      <c r="L289" s="659">
        <f>SUM(L290:L292)</f>
        <v>0</v>
      </c>
      <c r="M289" s="659">
        <f t="shared" ref="M289:U289" si="104">SUM(M290:M292)</f>
        <v>0</v>
      </c>
      <c r="N289" s="659">
        <f t="shared" si="104"/>
        <v>0</v>
      </c>
      <c r="O289" s="659">
        <f t="shared" si="104"/>
        <v>0</v>
      </c>
      <c r="P289" s="659">
        <f t="shared" si="104"/>
        <v>0</v>
      </c>
      <c r="Q289" s="659">
        <f t="shared" si="104"/>
        <v>0</v>
      </c>
      <c r="R289" s="659">
        <f t="shared" si="104"/>
        <v>0</v>
      </c>
      <c r="S289" s="659">
        <f t="shared" si="104"/>
        <v>0</v>
      </c>
      <c r="T289" s="659">
        <f t="shared" si="104"/>
        <v>0</v>
      </c>
      <c r="U289" s="659">
        <f t="shared" si="104"/>
        <v>0</v>
      </c>
      <c r="V289" s="660" t="e">
        <f t="shared" si="97"/>
        <v>#DIV/0!</v>
      </c>
      <c r="W289" s="661"/>
      <c r="X289" s="663" t="e">
        <f t="shared" si="95"/>
        <v>#DIV/0!</v>
      </c>
      <c r="Y289" s="663" t="e">
        <f t="shared" si="95"/>
        <v>#DIV/0!</v>
      </c>
      <c r="Z289" s="663" t="e">
        <f t="shared" si="95"/>
        <v>#DIV/0!</v>
      </c>
      <c r="AA289" s="663" t="e">
        <f t="shared" si="95"/>
        <v>#DIV/0!</v>
      </c>
    </row>
    <row r="290" spans="1:27" ht="22.5" hidden="1" customHeight="1" thickTop="1" thickBot="1" x14ac:dyDescent="0.3">
      <c r="A290" s="451">
        <v>1</v>
      </c>
      <c r="B290" s="451">
        <v>1</v>
      </c>
      <c r="C290" s="450" t="s">
        <v>1413</v>
      </c>
      <c r="D290" s="450" t="s">
        <v>1345</v>
      </c>
      <c r="E290" s="450" t="s">
        <v>1350</v>
      </c>
      <c r="F290" s="450" t="s">
        <v>2214</v>
      </c>
      <c r="G290" s="450" t="s">
        <v>1350</v>
      </c>
      <c r="H290" s="450" t="s">
        <v>1343</v>
      </c>
      <c r="I290" s="450"/>
      <c r="J290" s="450"/>
      <c r="K290" s="647" t="s">
        <v>2300</v>
      </c>
      <c r="L290" s="641"/>
      <c r="M290" s="641"/>
      <c r="N290" s="641"/>
      <c r="O290" s="641">
        <f>+L290+M290-N290</f>
        <v>0</v>
      </c>
      <c r="P290" s="641"/>
      <c r="Q290" s="641"/>
      <c r="R290" s="641"/>
      <c r="S290" s="641"/>
      <c r="T290" s="641"/>
      <c r="U290" s="641"/>
      <c r="V290" s="648" t="e">
        <f t="shared" si="97"/>
        <v>#DIV/0!</v>
      </c>
      <c r="W290" s="644"/>
      <c r="X290" s="584" t="e">
        <f t="shared" si="95"/>
        <v>#DIV/0!</v>
      </c>
      <c r="Y290" s="584" t="e">
        <f t="shared" si="95"/>
        <v>#DIV/0!</v>
      </c>
      <c r="Z290" s="584" t="e">
        <f t="shared" si="95"/>
        <v>#DIV/0!</v>
      </c>
      <c r="AA290" s="584" t="e">
        <f t="shared" si="95"/>
        <v>#DIV/0!</v>
      </c>
    </row>
    <row r="291" spans="1:27" ht="22.5" hidden="1" customHeight="1" thickTop="1" thickBot="1" x14ac:dyDescent="0.3">
      <c r="A291" s="451">
        <v>1</v>
      </c>
      <c r="B291" s="451">
        <v>1</v>
      </c>
      <c r="C291" s="450" t="s">
        <v>1413</v>
      </c>
      <c r="D291" s="450" t="s">
        <v>1345</v>
      </c>
      <c r="E291" s="450" t="s">
        <v>1350</v>
      </c>
      <c r="F291" s="450" t="s">
        <v>2214</v>
      </c>
      <c r="G291" s="450" t="s">
        <v>1350</v>
      </c>
      <c r="H291" s="450" t="s">
        <v>1413</v>
      </c>
      <c r="I291" s="450"/>
      <c r="J291" s="450"/>
      <c r="K291" s="647" t="s">
        <v>2301</v>
      </c>
      <c r="L291" s="641"/>
      <c r="M291" s="641"/>
      <c r="N291" s="641"/>
      <c r="O291" s="641">
        <f>+L291+M291-N291</f>
        <v>0</v>
      </c>
      <c r="P291" s="641"/>
      <c r="Q291" s="641"/>
      <c r="R291" s="641"/>
      <c r="S291" s="641"/>
      <c r="T291" s="641"/>
      <c r="U291" s="641"/>
      <c r="V291" s="648" t="e">
        <f t="shared" si="97"/>
        <v>#DIV/0!</v>
      </c>
      <c r="W291" s="644"/>
      <c r="X291" s="584" t="e">
        <f t="shared" si="95"/>
        <v>#DIV/0!</v>
      </c>
      <c r="Y291" s="584" t="e">
        <f t="shared" si="95"/>
        <v>#DIV/0!</v>
      </c>
      <c r="Z291" s="584" t="e">
        <f t="shared" si="95"/>
        <v>#DIV/0!</v>
      </c>
      <c r="AA291" s="584" t="e">
        <f t="shared" si="95"/>
        <v>#DIV/0!</v>
      </c>
    </row>
    <row r="292" spans="1:27" ht="22.5" hidden="1" customHeight="1" thickTop="1" thickBot="1" x14ac:dyDescent="0.3">
      <c r="A292" s="451">
        <v>1</v>
      </c>
      <c r="B292" s="451">
        <v>1</v>
      </c>
      <c r="C292" s="450" t="s">
        <v>1413</v>
      </c>
      <c r="D292" s="450" t="s">
        <v>1345</v>
      </c>
      <c r="E292" s="450" t="s">
        <v>1350</v>
      </c>
      <c r="F292" s="450" t="s">
        <v>2214</v>
      </c>
      <c r="G292" s="450" t="s">
        <v>1350</v>
      </c>
      <c r="H292" s="450" t="s">
        <v>2076</v>
      </c>
      <c r="I292" s="450"/>
      <c r="J292" s="450"/>
      <c r="K292" s="647" t="s">
        <v>2302</v>
      </c>
      <c r="L292" s="641"/>
      <c r="M292" s="641"/>
      <c r="N292" s="641"/>
      <c r="O292" s="641">
        <f>+L292+M292-N292</f>
        <v>0</v>
      </c>
      <c r="P292" s="641"/>
      <c r="Q292" s="641"/>
      <c r="R292" s="641"/>
      <c r="S292" s="641"/>
      <c r="T292" s="641"/>
      <c r="U292" s="641"/>
      <c r="V292" s="648" t="e">
        <f t="shared" si="97"/>
        <v>#DIV/0!</v>
      </c>
      <c r="W292" s="644"/>
      <c r="X292" s="584" t="e">
        <f t="shared" si="95"/>
        <v>#DIV/0!</v>
      </c>
      <c r="Y292" s="584" t="e">
        <f t="shared" si="95"/>
        <v>#DIV/0!</v>
      </c>
      <c r="Z292" s="584" t="e">
        <f t="shared" si="95"/>
        <v>#DIV/0!</v>
      </c>
      <c r="AA292" s="584" t="e">
        <f t="shared" si="95"/>
        <v>#DIV/0!</v>
      </c>
    </row>
    <row r="293" spans="1:27" s="617" customFormat="1" ht="22.5" hidden="1" customHeight="1" thickTop="1" thickBot="1" x14ac:dyDescent="0.3">
      <c r="A293" s="611">
        <v>1</v>
      </c>
      <c r="B293" s="448" t="s">
        <v>1343</v>
      </c>
      <c r="C293" s="448" t="s">
        <v>1413</v>
      </c>
      <c r="D293" s="448" t="s">
        <v>1354</v>
      </c>
      <c r="E293" s="448"/>
      <c r="F293" s="448"/>
      <c r="G293" s="448"/>
      <c r="H293" s="448"/>
      <c r="I293" s="448"/>
      <c r="J293" s="448"/>
      <c r="K293" s="612" t="s">
        <v>1876</v>
      </c>
      <c r="L293" s="613">
        <f>+L294+L298+L302+L306+L310</f>
        <v>0</v>
      </c>
      <c r="M293" s="613">
        <f t="shared" ref="M293:U293" si="105">+M294+M298+M302+M306+M310</f>
        <v>0</v>
      </c>
      <c r="N293" s="613">
        <f t="shared" si="105"/>
        <v>0</v>
      </c>
      <c r="O293" s="613">
        <f t="shared" si="105"/>
        <v>0</v>
      </c>
      <c r="P293" s="613">
        <f t="shared" si="105"/>
        <v>0</v>
      </c>
      <c r="Q293" s="613">
        <f t="shared" si="105"/>
        <v>0</v>
      </c>
      <c r="R293" s="613">
        <f t="shared" si="105"/>
        <v>0</v>
      </c>
      <c r="S293" s="613">
        <f t="shared" si="105"/>
        <v>0</v>
      </c>
      <c r="T293" s="613">
        <f t="shared" si="105"/>
        <v>0</v>
      </c>
      <c r="U293" s="613">
        <f t="shared" si="105"/>
        <v>0</v>
      </c>
      <c r="V293" s="614" t="e">
        <f t="shared" si="97"/>
        <v>#DIV/0!</v>
      </c>
      <c r="W293" s="615"/>
      <c r="X293" s="617" t="e">
        <f t="shared" si="95"/>
        <v>#DIV/0!</v>
      </c>
      <c r="Y293" s="617" t="e">
        <f t="shared" si="95"/>
        <v>#DIV/0!</v>
      </c>
      <c r="Z293" s="617" t="e">
        <f t="shared" si="95"/>
        <v>#DIV/0!</v>
      </c>
      <c r="AA293" s="617" t="e">
        <f t="shared" si="95"/>
        <v>#DIV/0!</v>
      </c>
    </row>
    <row r="294" spans="1:27" s="625" customFormat="1" ht="22.5" hidden="1" customHeight="1" thickTop="1" thickBot="1" x14ac:dyDescent="0.3">
      <c r="A294" s="618">
        <v>1</v>
      </c>
      <c r="B294" s="619" t="s">
        <v>1343</v>
      </c>
      <c r="C294" s="619" t="s">
        <v>1413</v>
      </c>
      <c r="D294" s="619" t="s">
        <v>1354</v>
      </c>
      <c r="E294" s="619" t="s">
        <v>1350</v>
      </c>
      <c r="F294" s="619"/>
      <c r="G294" s="619"/>
      <c r="H294" s="619"/>
      <c r="I294" s="619"/>
      <c r="J294" s="619"/>
      <c r="K294" s="620" t="s">
        <v>2303</v>
      </c>
      <c r="L294" s="621">
        <f>+L295</f>
        <v>0</v>
      </c>
      <c r="M294" s="621">
        <f t="shared" ref="M294:U294" si="106">SUM(M295:M297)</f>
        <v>0</v>
      </c>
      <c r="N294" s="621">
        <f t="shared" si="106"/>
        <v>0</v>
      </c>
      <c r="O294" s="621">
        <f t="shared" si="106"/>
        <v>0</v>
      </c>
      <c r="P294" s="621">
        <f t="shared" si="106"/>
        <v>0</v>
      </c>
      <c r="Q294" s="621">
        <f t="shared" si="106"/>
        <v>0</v>
      </c>
      <c r="R294" s="621">
        <f t="shared" si="106"/>
        <v>0</v>
      </c>
      <c r="S294" s="621">
        <f t="shared" si="106"/>
        <v>0</v>
      </c>
      <c r="T294" s="621">
        <f t="shared" si="106"/>
        <v>0</v>
      </c>
      <c r="U294" s="621">
        <f t="shared" si="106"/>
        <v>0</v>
      </c>
      <c r="V294" s="622" t="e">
        <f t="shared" si="97"/>
        <v>#DIV/0!</v>
      </c>
      <c r="W294" s="623"/>
      <c r="X294" s="625" t="e">
        <f t="shared" si="95"/>
        <v>#DIV/0!</v>
      </c>
      <c r="Y294" s="625" t="e">
        <f t="shared" si="95"/>
        <v>#DIV/0!</v>
      </c>
      <c r="Z294" s="625" t="e">
        <f t="shared" si="95"/>
        <v>#DIV/0!</v>
      </c>
      <c r="AA294" s="625" t="e">
        <f t="shared" si="95"/>
        <v>#DIV/0!</v>
      </c>
    </row>
    <row r="295" spans="1:27" s="632" customFormat="1" ht="22.5" hidden="1" customHeight="1" thickTop="1" thickBot="1" x14ac:dyDescent="0.3">
      <c r="A295" s="626">
        <v>1</v>
      </c>
      <c r="B295" s="449" t="s">
        <v>1343</v>
      </c>
      <c r="C295" s="449" t="s">
        <v>1413</v>
      </c>
      <c r="D295" s="449" t="s">
        <v>1354</v>
      </c>
      <c r="E295" s="449" t="s">
        <v>1350</v>
      </c>
      <c r="F295" s="449" t="s">
        <v>1343</v>
      </c>
      <c r="G295" s="449"/>
      <c r="H295" s="449"/>
      <c r="I295" s="449"/>
      <c r="J295" s="449"/>
      <c r="K295" s="627" t="s">
        <v>2304</v>
      </c>
      <c r="L295" s="628">
        <f>+SUM(L296:L297)</f>
        <v>0</v>
      </c>
      <c r="M295" s="628"/>
      <c r="N295" s="628"/>
      <c r="O295" s="628">
        <f>+L295+M295-N295</f>
        <v>0</v>
      </c>
      <c r="P295" s="628"/>
      <c r="Q295" s="628"/>
      <c r="R295" s="628"/>
      <c r="S295" s="628"/>
      <c r="T295" s="628"/>
      <c r="U295" s="628"/>
      <c r="V295" s="629" t="e">
        <f t="shared" si="97"/>
        <v>#DIV/0!</v>
      </c>
      <c r="W295" s="630"/>
      <c r="X295" s="632" t="e">
        <f t="shared" si="95"/>
        <v>#DIV/0!</v>
      </c>
      <c r="Y295" s="632" t="e">
        <f t="shared" si="95"/>
        <v>#DIV/0!</v>
      </c>
      <c r="Z295" s="632" t="e">
        <f t="shared" si="95"/>
        <v>#DIV/0!</v>
      </c>
      <c r="AA295" s="632" t="e">
        <f t="shared" si="95"/>
        <v>#DIV/0!</v>
      </c>
    </row>
    <row r="296" spans="1:27" ht="22.5" hidden="1" customHeight="1" thickTop="1" thickBot="1" x14ac:dyDescent="0.3">
      <c r="A296" s="451">
        <v>1</v>
      </c>
      <c r="B296" s="450" t="s">
        <v>1343</v>
      </c>
      <c r="C296" s="450" t="s">
        <v>1413</v>
      </c>
      <c r="D296" s="450" t="s">
        <v>1354</v>
      </c>
      <c r="E296" s="450" t="s">
        <v>1350</v>
      </c>
      <c r="F296" s="450" t="s">
        <v>1413</v>
      </c>
      <c r="G296" s="450"/>
      <c r="H296" s="450"/>
      <c r="I296" s="450"/>
      <c r="J296" s="450"/>
      <c r="K296" s="647" t="s">
        <v>2305</v>
      </c>
      <c r="L296" s="641"/>
      <c r="M296" s="641"/>
      <c r="N296" s="641"/>
      <c r="O296" s="641">
        <f>+L296+M296-N296</f>
        <v>0</v>
      </c>
      <c r="P296" s="641"/>
      <c r="Q296" s="641"/>
      <c r="R296" s="641"/>
      <c r="S296" s="641"/>
      <c r="T296" s="641"/>
      <c r="U296" s="641"/>
      <c r="V296" s="648" t="e">
        <f t="shared" si="97"/>
        <v>#DIV/0!</v>
      </c>
      <c r="W296" s="644"/>
      <c r="X296" s="584" t="e">
        <f t="shared" si="95"/>
        <v>#DIV/0!</v>
      </c>
      <c r="Y296" s="584" t="e">
        <f t="shared" si="95"/>
        <v>#DIV/0!</v>
      </c>
      <c r="Z296" s="584" t="e">
        <f t="shared" si="95"/>
        <v>#DIV/0!</v>
      </c>
      <c r="AA296" s="584" t="e">
        <f t="shared" si="95"/>
        <v>#DIV/0!</v>
      </c>
    </row>
    <row r="297" spans="1:27" ht="22.5" hidden="1" customHeight="1" thickTop="1" thickBot="1" x14ac:dyDescent="0.3">
      <c r="A297" s="451">
        <v>1</v>
      </c>
      <c r="B297" s="450" t="s">
        <v>1343</v>
      </c>
      <c r="C297" s="450" t="s">
        <v>1413</v>
      </c>
      <c r="D297" s="450" t="s">
        <v>1354</v>
      </c>
      <c r="E297" s="450" t="s">
        <v>1350</v>
      </c>
      <c r="F297" s="450" t="s">
        <v>2076</v>
      </c>
      <c r="G297" s="450"/>
      <c r="H297" s="450"/>
      <c r="I297" s="450"/>
      <c r="J297" s="450"/>
      <c r="K297" s="647" t="s">
        <v>2306</v>
      </c>
      <c r="L297" s="641"/>
      <c r="M297" s="641"/>
      <c r="N297" s="641"/>
      <c r="O297" s="641">
        <f>+L297+M297-N297</f>
        <v>0</v>
      </c>
      <c r="P297" s="641"/>
      <c r="Q297" s="641"/>
      <c r="R297" s="641"/>
      <c r="S297" s="641"/>
      <c r="T297" s="641"/>
      <c r="U297" s="641"/>
      <c r="V297" s="648" t="e">
        <f t="shared" si="97"/>
        <v>#DIV/0!</v>
      </c>
      <c r="W297" s="644"/>
      <c r="X297" s="584" t="e">
        <f t="shared" si="95"/>
        <v>#DIV/0!</v>
      </c>
      <c r="Y297" s="584" t="e">
        <f t="shared" si="95"/>
        <v>#DIV/0!</v>
      </c>
      <c r="Z297" s="584" t="e">
        <f t="shared" si="95"/>
        <v>#DIV/0!</v>
      </c>
      <c r="AA297" s="584" t="e">
        <f t="shared" si="95"/>
        <v>#DIV/0!</v>
      </c>
    </row>
    <row r="298" spans="1:27" s="625" customFormat="1" ht="22.5" hidden="1" customHeight="1" thickTop="1" thickBot="1" x14ac:dyDescent="0.3">
      <c r="A298" s="618">
        <v>1</v>
      </c>
      <c r="B298" s="619" t="s">
        <v>1343</v>
      </c>
      <c r="C298" s="619" t="s">
        <v>1413</v>
      </c>
      <c r="D298" s="619" t="s">
        <v>1354</v>
      </c>
      <c r="E298" s="619" t="s">
        <v>1354</v>
      </c>
      <c r="F298" s="619"/>
      <c r="G298" s="619"/>
      <c r="H298" s="619"/>
      <c r="I298" s="619"/>
      <c r="J298" s="619"/>
      <c r="K298" s="620" t="s">
        <v>1877</v>
      </c>
      <c r="L298" s="621">
        <f>SUM(L299:L301)</f>
        <v>0</v>
      </c>
      <c r="M298" s="621">
        <f t="shared" ref="M298:U298" si="107">SUM(M299:M301)</f>
        <v>0</v>
      </c>
      <c r="N298" s="621">
        <f t="shared" si="107"/>
        <v>0</v>
      </c>
      <c r="O298" s="621">
        <f t="shared" si="107"/>
        <v>0</v>
      </c>
      <c r="P298" s="621">
        <f t="shared" si="107"/>
        <v>0</v>
      </c>
      <c r="Q298" s="621">
        <f t="shared" si="107"/>
        <v>0</v>
      </c>
      <c r="R298" s="621">
        <f t="shared" si="107"/>
        <v>0</v>
      </c>
      <c r="S298" s="621">
        <f t="shared" si="107"/>
        <v>0</v>
      </c>
      <c r="T298" s="621">
        <f t="shared" si="107"/>
        <v>0</v>
      </c>
      <c r="U298" s="621">
        <f t="shared" si="107"/>
        <v>0</v>
      </c>
      <c r="V298" s="622" t="e">
        <f t="shared" si="97"/>
        <v>#DIV/0!</v>
      </c>
      <c r="W298" s="623"/>
      <c r="X298" s="625" t="e">
        <f t="shared" si="95"/>
        <v>#DIV/0!</v>
      </c>
      <c r="Y298" s="625" t="e">
        <f t="shared" si="95"/>
        <v>#DIV/0!</v>
      </c>
      <c r="Z298" s="625" t="e">
        <f t="shared" si="95"/>
        <v>#DIV/0!</v>
      </c>
      <c r="AA298" s="625" t="e">
        <f t="shared" si="95"/>
        <v>#DIV/0!</v>
      </c>
    </row>
    <row r="299" spans="1:27" ht="22.5" hidden="1" customHeight="1" thickTop="1" thickBot="1" x14ac:dyDescent="0.3">
      <c r="A299" s="451">
        <v>1</v>
      </c>
      <c r="B299" s="450" t="s">
        <v>1343</v>
      </c>
      <c r="C299" s="450" t="s">
        <v>1413</v>
      </c>
      <c r="D299" s="450" t="s">
        <v>1354</v>
      </c>
      <c r="E299" s="450" t="s">
        <v>1354</v>
      </c>
      <c r="F299" s="450" t="s">
        <v>1343</v>
      </c>
      <c r="G299" s="450"/>
      <c r="H299" s="450"/>
      <c r="I299" s="450"/>
      <c r="J299" s="450"/>
      <c r="K299" s="647" t="s">
        <v>2307</v>
      </c>
      <c r="L299" s="641"/>
      <c r="M299" s="641"/>
      <c r="N299" s="641"/>
      <c r="O299" s="641">
        <f>+L299+M299-N299</f>
        <v>0</v>
      </c>
      <c r="P299" s="641"/>
      <c r="Q299" s="641"/>
      <c r="R299" s="641"/>
      <c r="S299" s="641"/>
      <c r="T299" s="641"/>
      <c r="U299" s="641"/>
      <c r="V299" s="648" t="e">
        <f t="shared" si="97"/>
        <v>#DIV/0!</v>
      </c>
      <c r="W299" s="644"/>
      <c r="X299" s="584" t="e">
        <f t="shared" si="95"/>
        <v>#DIV/0!</v>
      </c>
      <c r="Y299" s="584" t="e">
        <f t="shared" si="95"/>
        <v>#DIV/0!</v>
      </c>
      <c r="Z299" s="584" t="e">
        <f t="shared" si="95"/>
        <v>#DIV/0!</v>
      </c>
      <c r="AA299" s="584" t="e">
        <f t="shared" si="95"/>
        <v>#DIV/0!</v>
      </c>
    </row>
    <row r="300" spans="1:27" ht="22.5" hidden="1" customHeight="1" thickTop="1" thickBot="1" x14ac:dyDescent="0.3">
      <c r="A300" s="451">
        <v>1</v>
      </c>
      <c r="B300" s="450" t="s">
        <v>1343</v>
      </c>
      <c r="C300" s="450" t="s">
        <v>1413</v>
      </c>
      <c r="D300" s="450" t="s">
        <v>1354</v>
      </c>
      <c r="E300" s="450" t="s">
        <v>1354</v>
      </c>
      <c r="F300" s="450" t="s">
        <v>1413</v>
      </c>
      <c r="G300" s="450"/>
      <c r="H300" s="450"/>
      <c r="I300" s="450"/>
      <c r="J300" s="450"/>
      <c r="K300" s="647" t="s">
        <v>2308</v>
      </c>
      <c r="L300" s="641"/>
      <c r="M300" s="641"/>
      <c r="N300" s="641"/>
      <c r="O300" s="641">
        <f>+L300+M300-N300</f>
        <v>0</v>
      </c>
      <c r="P300" s="641"/>
      <c r="Q300" s="641"/>
      <c r="R300" s="641"/>
      <c r="S300" s="641"/>
      <c r="T300" s="641"/>
      <c r="U300" s="641"/>
      <c r="V300" s="648" t="e">
        <f t="shared" si="97"/>
        <v>#DIV/0!</v>
      </c>
      <c r="W300" s="644"/>
      <c r="X300" s="584" t="e">
        <f t="shared" si="95"/>
        <v>#DIV/0!</v>
      </c>
      <c r="Y300" s="584" t="e">
        <f t="shared" si="95"/>
        <v>#DIV/0!</v>
      </c>
      <c r="Z300" s="584" t="e">
        <f t="shared" si="95"/>
        <v>#DIV/0!</v>
      </c>
      <c r="AA300" s="584" t="e">
        <f t="shared" si="95"/>
        <v>#DIV/0!</v>
      </c>
    </row>
    <row r="301" spans="1:27" ht="22.5" hidden="1" customHeight="1" thickTop="1" thickBot="1" x14ac:dyDescent="0.3">
      <c r="A301" s="451">
        <v>1</v>
      </c>
      <c r="B301" s="450" t="s">
        <v>1343</v>
      </c>
      <c r="C301" s="450" t="s">
        <v>1413</v>
      </c>
      <c r="D301" s="450" t="s">
        <v>1354</v>
      </c>
      <c r="E301" s="450" t="s">
        <v>1354</v>
      </c>
      <c r="F301" s="450" t="s">
        <v>2076</v>
      </c>
      <c r="G301" s="450"/>
      <c r="H301" s="450"/>
      <c r="I301" s="450"/>
      <c r="J301" s="450"/>
      <c r="K301" s="647" t="s">
        <v>2309</v>
      </c>
      <c r="L301" s="641"/>
      <c r="M301" s="641"/>
      <c r="N301" s="641"/>
      <c r="O301" s="641">
        <f>+L301+M301-N301</f>
        <v>0</v>
      </c>
      <c r="P301" s="641"/>
      <c r="Q301" s="641"/>
      <c r="R301" s="641"/>
      <c r="S301" s="641"/>
      <c r="T301" s="641"/>
      <c r="U301" s="641"/>
      <c r="V301" s="648" t="e">
        <f t="shared" si="97"/>
        <v>#DIV/0!</v>
      </c>
      <c r="W301" s="644"/>
      <c r="X301" s="584" t="e">
        <f t="shared" si="95"/>
        <v>#DIV/0!</v>
      </c>
      <c r="Y301" s="584" t="e">
        <f t="shared" si="95"/>
        <v>#DIV/0!</v>
      </c>
      <c r="Z301" s="584" t="e">
        <f t="shared" si="95"/>
        <v>#DIV/0!</v>
      </c>
      <c r="AA301" s="584" t="e">
        <f t="shared" si="95"/>
        <v>#DIV/0!</v>
      </c>
    </row>
    <row r="302" spans="1:27" s="625" customFormat="1" ht="22.5" hidden="1" customHeight="1" thickTop="1" thickBot="1" x14ac:dyDescent="0.3">
      <c r="A302" s="618">
        <v>1</v>
      </c>
      <c r="B302" s="619" t="s">
        <v>1343</v>
      </c>
      <c r="C302" s="619" t="s">
        <v>1413</v>
      </c>
      <c r="D302" s="619" t="s">
        <v>1354</v>
      </c>
      <c r="E302" s="619" t="s">
        <v>1355</v>
      </c>
      <c r="F302" s="619"/>
      <c r="G302" s="619"/>
      <c r="H302" s="619"/>
      <c r="I302" s="619"/>
      <c r="J302" s="619"/>
      <c r="K302" s="620" t="s">
        <v>1878</v>
      </c>
      <c r="L302" s="621">
        <f>SUM(L303:L305)</f>
        <v>0</v>
      </c>
      <c r="M302" s="621">
        <f t="shared" ref="M302:U302" si="108">SUM(M303:M305)</f>
        <v>0</v>
      </c>
      <c r="N302" s="621">
        <f t="shared" si="108"/>
        <v>0</v>
      </c>
      <c r="O302" s="621">
        <f t="shared" si="108"/>
        <v>0</v>
      </c>
      <c r="P302" s="621">
        <f t="shared" si="108"/>
        <v>0</v>
      </c>
      <c r="Q302" s="621">
        <f t="shared" si="108"/>
        <v>0</v>
      </c>
      <c r="R302" s="621">
        <f t="shared" si="108"/>
        <v>0</v>
      </c>
      <c r="S302" s="621">
        <f t="shared" si="108"/>
        <v>0</v>
      </c>
      <c r="T302" s="621">
        <f t="shared" si="108"/>
        <v>0</v>
      </c>
      <c r="U302" s="621">
        <f t="shared" si="108"/>
        <v>0</v>
      </c>
      <c r="V302" s="622" t="e">
        <f t="shared" si="97"/>
        <v>#DIV/0!</v>
      </c>
      <c r="W302" s="623"/>
      <c r="X302" s="625" t="e">
        <f t="shared" si="95"/>
        <v>#DIV/0!</v>
      </c>
      <c r="Y302" s="625" t="e">
        <f t="shared" si="95"/>
        <v>#DIV/0!</v>
      </c>
      <c r="Z302" s="625" t="e">
        <f t="shared" si="95"/>
        <v>#DIV/0!</v>
      </c>
      <c r="AA302" s="625" t="e">
        <f t="shared" si="95"/>
        <v>#DIV/0!</v>
      </c>
    </row>
    <row r="303" spans="1:27" ht="22.5" hidden="1" customHeight="1" thickTop="1" thickBot="1" x14ac:dyDescent="0.3">
      <c r="A303" s="451">
        <v>1</v>
      </c>
      <c r="B303" s="450" t="s">
        <v>1343</v>
      </c>
      <c r="C303" s="450" t="s">
        <v>1413</v>
      </c>
      <c r="D303" s="450" t="s">
        <v>1354</v>
      </c>
      <c r="E303" s="450" t="s">
        <v>1355</v>
      </c>
      <c r="F303" s="450" t="s">
        <v>1343</v>
      </c>
      <c r="G303" s="450"/>
      <c r="H303" s="450"/>
      <c r="I303" s="450"/>
      <c r="J303" s="450"/>
      <c r="K303" s="647" t="s">
        <v>2310</v>
      </c>
      <c r="L303" s="641"/>
      <c r="M303" s="641"/>
      <c r="N303" s="641"/>
      <c r="O303" s="641">
        <f>+L303+M303-N303</f>
        <v>0</v>
      </c>
      <c r="P303" s="641"/>
      <c r="Q303" s="641"/>
      <c r="R303" s="641"/>
      <c r="S303" s="641"/>
      <c r="T303" s="641"/>
      <c r="U303" s="641"/>
      <c r="V303" s="648" t="e">
        <f t="shared" si="97"/>
        <v>#DIV/0!</v>
      </c>
      <c r="W303" s="644"/>
      <c r="X303" s="584" t="e">
        <f t="shared" si="95"/>
        <v>#DIV/0!</v>
      </c>
      <c r="Y303" s="584" t="e">
        <f t="shared" si="95"/>
        <v>#DIV/0!</v>
      </c>
      <c r="Z303" s="584" t="e">
        <f t="shared" si="95"/>
        <v>#DIV/0!</v>
      </c>
      <c r="AA303" s="584" t="e">
        <f t="shared" si="95"/>
        <v>#DIV/0!</v>
      </c>
    </row>
    <row r="304" spans="1:27" ht="22.5" hidden="1" customHeight="1" thickTop="1" thickBot="1" x14ac:dyDescent="0.3">
      <c r="A304" s="451">
        <v>1</v>
      </c>
      <c r="B304" s="450" t="s">
        <v>1343</v>
      </c>
      <c r="C304" s="450" t="s">
        <v>1413</v>
      </c>
      <c r="D304" s="450" t="s">
        <v>1354</v>
      </c>
      <c r="E304" s="450" t="s">
        <v>1355</v>
      </c>
      <c r="F304" s="450" t="s">
        <v>1413</v>
      </c>
      <c r="G304" s="450"/>
      <c r="H304" s="450"/>
      <c r="I304" s="450"/>
      <c r="J304" s="450"/>
      <c r="K304" s="647" t="s">
        <v>2311</v>
      </c>
      <c r="L304" s="641"/>
      <c r="M304" s="641"/>
      <c r="N304" s="641"/>
      <c r="O304" s="641">
        <f>+L304+M304-N304</f>
        <v>0</v>
      </c>
      <c r="P304" s="641"/>
      <c r="Q304" s="641"/>
      <c r="R304" s="641"/>
      <c r="S304" s="641"/>
      <c r="T304" s="641"/>
      <c r="U304" s="641"/>
      <c r="V304" s="648" t="e">
        <f t="shared" si="97"/>
        <v>#DIV/0!</v>
      </c>
      <c r="W304" s="644"/>
      <c r="X304" s="584" t="e">
        <f t="shared" si="95"/>
        <v>#DIV/0!</v>
      </c>
      <c r="Y304" s="584" t="e">
        <f t="shared" si="95"/>
        <v>#DIV/0!</v>
      </c>
      <c r="Z304" s="584" t="e">
        <f t="shared" si="95"/>
        <v>#DIV/0!</v>
      </c>
      <c r="AA304" s="584" t="e">
        <f t="shared" si="95"/>
        <v>#DIV/0!</v>
      </c>
    </row>
    <row r="305" spans="1:27" ht="22.5" hidden="1" customHeight="1" thickTop="1" thickBot="1" x14ac:dyDescent="0.3">
      <c r="A305" s="451">
        <v>1</v>
      </c>
      <c r="B305" s="450" t="s">
        <v>1343</v>
      </c>
      <c r="C305" s="450" t="s">
        <v>1413</v>
      </c>
      <c r="D305" s="450" t="s">
        <v>1354</v>
      </c>
      <c r="E305" s="450" t="s">
        <v>1355</v>
      </c>
      <c r="F305" s="450" t="s">
        <v>2076</v>
      </c>
      <c r="G305" s="450"/>
      <c r="H305" s="450"/>
      <c r="I305" s="450"/>
      <c r="J305" s="450"/>
      <c r="K305" s="647" t="s">
        <v>2312</v>
      </c>
      <c r="L305" s="641"/>
      <c r="M305" s="641"/>
      <c r="N305" s="641"/>
      <c r="O305" s="641">
        <f>+L305+M305-N305</f>
        <v>0</v>
      </c>
      <c r="P305" s="641"/>
      <c r="Q305" s="641"/>
      <c r="R305" s="641"/>
      <c r="S305" s="641"/>
      <c r="T305" s="641"/>
      <c r="U305" s="641"/>
      <c r="V305" s="648" t="e">
        <f t="shared" si="97"/>
        <v>#DIV/0!</v>
      </c>
      <c r="W305" s="644"/>
      <c r="X305" s="584" t="e">
        <f t="shared" si="95"/>
        <v>#DIV/0!</v>
      </c>
      <c r="Y305" s="584" t="e">
        <f t="shared" si="95"/>
        <v>#DIV/0!</v>
      </c>
      <c r="Z305" s="584" t="e">
        <f t="shared" si="95"/>
        <v>#DIV/0!</v>
      </c>
      <c r="AA305" s="584" t="e">
        <f t="shared" si="95"/>
        <v>#DIV/0!</v>
      </c>
    </row>
    <row r="306" spans="1:27" s="625" customFormat="1" ht="22.5" hidden="1" customHeight="1" thickTop="1" thickBot="1" x14ac:dyDescent="0.3">
      <c r="A306" s="618">
        <v>1</v>
      </c>
      <c r="B306" s="619" t="s">
        <v>1343</v>
      </c>
      <c r="C306" s="619" t="s">
        <v>1413</v>
      </c>
      <c r="D306" s="619" t="s">
        <v>1354</v>
      </c>
      <c r="E306" s="619" t="s">
        <v>1358</v>
      </c>
      <c r="F306" s="619"/>
      <c r="G306" s="619"/>
      <c r="H306" s="619"/>
      <c r="I306" s="619"/>
      <c r="J306" s="619"/>
      <c r="K306" s="620" t="s">
        <v>2313</v>
      </c>
      <c r="L306" s="621">
        <f>SUM(L307:L309)</f>
        <v>0</v>
      </c>
      <c r="M306" s="621">
        <f t="shared" ref="M306:U306" si="109">SUM(M307:M309)</f>
        <v>0</v>
      </c>
      <c r="N306" s="621">
        <f t="shared" si="109"/>
        <v>0</v>
      </c>
      <c r="O306" s="621">
        <f t="shared" si="109"/>
        <v>0</v>
      </c>
      <c r="P306" s="621">
        <f t="shared" si="109"/>
        <v>0</v>
      </c>
      <c r="Q306" s="621">
        <f t="shared" si="109"/>
        <v>0</v>
      </c>
      <c r="R306" s="621">
        <f t="shared" si="109"/>
        <v>0</v>
      </c>
      <c r="S306" s="621">
        <f t="shared" si="109"/>
        <v>0</v>
      </c>
      <c r="T306" s="621">
        <f t="shared" si="109"/>
        <v>0</v>
      </c>
      <c r="U306" s="621">
        <f t="shared" si="109"/>
        <v>0</v>
      </c>
      <c r="V306" s="622" t="e">
        <f t="shared" si="97"/>
        <v>#DIV/0!</v>
      </c>
      <c r="W306" s="623"/>
      <c r="X306" s="625" t="e">
        <f t="shared" si="95"/>
        <v>#DIV/0!</v>
      </c>
      <c r="Y306" s="625" t="e">
        <f t="shared" si="95"/>
        <v>#DIV/0!</v>
      </c>
      <c r="Z306" s="625" t="e">
        <f t="shared" si="95"/>
        <v>#DIV/0!</v>
      </c>
      <c r="AA306" s="625" t="e">
        <f t="shared" si="95"/>
        <v>#DIV/0!</v>
      </c>
    </row>
    <row r="307" spans="1:27" ht="22.5" hidden="1" customHeight="1" thickTop="1" thickBot="1" x14ac:dyDescent="0.3">
      <c r="A307" s="451">
        <v>1</v>
      </c>
      <c r="B307" s="450" t="s">
        <v>1343</v>
      </c>
      <c r="C307" s="450" t="s">
        <v>1413</v>
      </c>
      <c r="D307" s="450" t="s">
        <v>1354</v>
      </c>
      <c r="E307" s="450" t="s">
        <v>1358</v>
      </c>
      <c r="F307" s="450" t="s">
        <v>1343</v>
      </c>
      <c r="G307" s="450"/>
      <c r="H307" s="450"/>
      <c r="I307" s="450"/>
      <c r="J307" s="450"/>
      <c r="K307" s="647" t="s">
        <v>2314</v>
      </c>
      <c r="L307" s="641"/>
      <c r="M307" s="641"/>
      <c r="N307" s="641"/>
      <c r="O307" s="641">
        <f>+L307+M307-N307</f>
        <v>0</v>
      </c>
      <c r="P307" s="641"/>
      <c r="Q307" s="641"/>
      <c r="R307" s="641"/>
      <c r="S307" s="641"/>
      <c r="T307" s="641"/>
      <c r="U307" s="641"/>
      <c r="V307" s="648" t="e">
        <f t="shared" si="97"/>
        <v>#DIV/0!</v>
      </c>
      <c r="W307" s="644"/>
      <c r="X307" s="584" t="e">
        <f t="shared" si="95"/>
        <v>#DIV/0!</v>
      </c>
      <c r="Y307" s="584" t="e">
        <f t="shared" si="95"/>
        <v>#DIV/0!</v>
      </c>
      <c r="Z307" s="584" t="e">
        <f t="shared" si="95"/>
        <v>#DIV/0!</v>
      </c>
      <c r="AA307" s="584" t="e">
        <f t="shared" si="95"/>
        <v>#DIV/0!</v>
      </c>
    </row>
    <row r="308" spans="1:27" ht="22.5" hidden="1" customHeight="1" thickTop="1" thickBot="1" x14ac:dyDescent="0.3">
      <c r="A308" s="451">
        <v>1</v>
      </c>
      <c r="B308" s="450" t="s">
        <v>1343</v>
      </c>
      <c r="C308" s="450" t="s">
        <v>1413</v>
      </c>
      <c r="D308" s="450" t="s">
        <v>1354</v>
      </c>
      <c r="E308" s="450" t="s">
        <v>1358</v>
      </c>
      <c r="F308" s="450" t="s">
        <v>1413</v>
      </c>
      <c r="G308" s="450"/>
      <c r="H308" s="450"/>
      <c r="I308" s="450"/>
      <c r="J308" s="450"/>
      <c r="K308" s="647" t="s">
        <v>2315</v>
      </c>
      <c r="L308" s="641"/>
      <c r="M308" s="641"/>
      <c r="N308" s="641"/>
      <c r="O308" s="641">
        <f>+L308+M308-N308</f>
        <v>0</v>
      </c>
      <c r="P308" s="641"/>
      <c r="Q308" s="641"/>
      <c r="R308" s="641"/>
      <c r="S308" s="641"/>
      <c r="T308" s="641"/>
      <c r="U308" s="641"/>
      <c r="V308" s="648" t="e">
        <f t="shared" si="97"/>
        <v>#DIV/0!</v>
      </c>
      <c r="W308" s="644"/>
      <c r="X308" s="584" t="e">
        <f t="shared" si="95"/>
        <v>#DIV/0!</v>
      </c>
      <c r="Y308" s="584" t="e">
        <f t="shared" si="95"/>
        <v>#DIV/0!</v>
      </c>
      <c r="Z308" s="584" t="e">
        <f t="shared" si="95"/>
        <v>#DIV/0!</v>
      </c>
      <c r="AA308" s="584" t="e">
        <f t="shared" si="95"/>
        <v>#DIV/0!</v>
      </c>
    </row>
    <row r="309" spans="1:27" ht="22.5" hidden="1" customHeight="1" thickTop="1" thickBot="1" x14ac:dyDescent="0.3">
      <c r="A309" s="451">
        <v>1</v>
      </c>
      <c r="B309" s="450" t="s">
        <v>1343</v>
      </c>
      <c r="C309" s="450" t="s">
        <v>1413</v>
      </c>
      <c r="D309" s="450" t="s">
        <v>1354</v>
      </c>
      <c r="E309" s="450" t="s">
        <v>1358</v>
      </c>
      <c r="F309" s="450" t="s">
        <v>2076</v>
      </c>
      <c r="G309" s="450"/>
      <c r="H309" s="450"/>
      <c r="I309" s="450"/>
      <c r="J309" s="450"/>
      <c r="K309" s="647" t="s">
        <v>2316</v>
      </c>
      <c r="L309" s="641"/>
      <c r="M309" s="641"/>
      <c r="N309" s="641"/>
      <c r="O309" s="641">
        <f>+L309+M309-N309</f>
        <v>0</v>
      </c>
      <c r="P309" s="641"/>
      <c r="Q309" s="641"/>
      <c r="R309" s="641"/>
      <c r="S309" s="641"/>
      <c r="T309" s="641"/>
      <c r="U309" s="641"/>
      <c r="V309" s="648" t="e">
        <f t="shared" si="97"/>
        <v>#DIV/0!</v>
      </c>
      <c r="W309" s="644"/>
      <c r="X309" s="584" t="e">
        <f t="shared" si="95"/>
        <v>#DIV/0!</v>
      </c>
      <c r="Y309" s="584" t="e">
        <f t="shared" si="95"/>
        <v>#DIV/0!</v>
      </c>
      <c r="Z309" s="584" t="e">
        <f t="shared" si="95"/>
        <v>#DIV/0!</v>
      </c>
      <c r="AA309" s="584" t="e">
        <f t="shared" si="95"/>
        <v>#DIV/0!</v>
      </c>
    </row>
    <row r="310" spans="1:27" s="625" customFormat="1" ht="22.5" hidden="1" customHeight="1" thickTop="1" thickBot="1" x14ac:dyDescent="0.3">
      <c r="A310" s="618">
        <v>1</v>
      </c>
      <c r="B310" s="619" t="s">
        <v>1343</v>
      </c>
      <c r="C310" s="619" t="s">
        <v>1413</v>
      </c>
      <c r="D310" s="619" t="s">
        <v>1354</v>
      </c>
      <c r="E310" s="619" t="s">
        <v>1359</v>
      </c>
      <c r="F310" s="619"/>
      <c r="G310" s="619"/>
      <c r="H310" s="619"/>
      <c r="I310" s="619"/>
      <c r="J310" s="619"/>
      <c r="K310" s="620" t="s">
        <v>2317</v>
      </c>
      <c r="L310" s="621">
        <f>SUM(L311:L313)</f>
        <v>0</v>
      </c>
      <c r="M310" s="621">
        <f t="shared" ref="M310:U310" si="110">SUM(M311:M313)</f>
        <v>0</v>
      </c>
      <c r="N310" s="621">
        <f t="shared" si="110"/>
        <v>0</v>
      </c>
      <c r="O310" s="621">
        <f t="shared" si="110"/>
        <v>0</v>
      </c>
      <c r="P310" s="621">
        <f t="shared" si="110"/>
        <v>0</v>
      </c>
      <c r="Q310" s="621">
        <f t="shared" si="110"/>
        <v>0</v>
      </c>
      <c r="R310" s="621">
        <f t="shared" si="110"/>
        <v>0</v>
      </c>
      <c r="S310" s="621">
        <f t="shared" si="110"/>
        <v>0</v>
      </c>
      <c r="T310" s="621">
        <f t="shared" si="110"/>
        <v>0</v>
      </c>
      <c r="U310" s="621">
        <f t="shared" si="110"/>
        <v>0</v>
      </c>
      <c r="V310" s="622" t="e">
        <f t="shared" si="97"/>
        <v>#DIV/0!</v>
      </c>
      <c r="W310" s="623"/>
      <c r="X310" s="625" t="e">
        <f t="shared" si="95"/>
        <v>#DIV/0!</v>
      </c>
      <c r="Y310" s="625" t="e">
        <f t="shared" si="95"/>
        <v>#DIV/0!</v>
      </c>
      <c r="Z310" s="625" t="e">
        <f t="shared" si="95"/>
        <v>#DIV/0!</v>
      </c>
      <c r="AA310" s="625" t="e">
        <f t="shared" si="95"/>
        <v>#DIV/0!</v>
      </c>
    </row>
    <row r="311" spans="1:27" ht="22.5" hidden="1" customHeight="1" thickTop="1" thickBot="1" x14ac:dyDescent="0.3">
      <c r="A311" s="451">
        <v>1</v>
      </c>
      <c r="B311" s="450" t="s">
        <v>1343</v>
      </c>
      <c r="C311" s="450" t="s">
        <v>1413</v>
      </c>
      <c r="D311" s="450" t="s">
        <v>1354</v>
      </c>
      <c r="E311" s="450" t="s">
        <v>1359</v>
      </c>
      <c r="F311" s="450" t="s">
        <v>1343</v>
      </c>
      <c r="G311" s="450"/>
      <c r="H311" s="450"/>
      <c r="I311" s="450"/>
      <c r="J311" s="450"/>
      <c r="K311" s="647" t="s">
        <v>2318</v>
      </c>
      <c r="L311" s="641"/>
      <c r="M311" s="641"/>
      <c r="N311" s="641"/>
      <c r="O311" s="641">
        <f>+L311+M311-N311</f>
        <v>0</v>
      </c>
      <c r="P311" s="641"/>
      <c r="Q311" s="641"/>
      <c r="R311" s="641"/>
      <c r="S311" s="641"/>
      <c r="T311" s="641"/>
      <c r="U311" s="641"/>
      <c r="V311" s="648" t="e">
        <f t="shared" si="97"/>
        <v>#DIV/0!</v>
      </c>
      <c r="W311" s="644"/>
      <c r="X311" s="584" t="e">
        <f t="shared" si="95"/>
        <v>#DIV/0!</v>
      </c>
      <c r="Y311" s="584" t="e">
        <f t="shared" si="95"/>
        <v>#DIV/0!</v>
      </c>
      <c r="Z311" s="584" t="e">
        <f t="shared" si="95"/>
        <v>#DIV/0!</v>
      </c>
      <c r="AA311" s="584" t="e">
        <f t="shared" si="95"/>
        <v>#DIV/0!</v>
      </c>
    </row>
    <row r="312" spans="1:27" ht="22.5" hidden="1" customHeight="1" thickTop="1" thickBot="1" x14ac:dyDescent="0.3">
      <c r="A312" s="451">
        <v>1</v>
      </c>
      <c r="B312" s="450" t="s">
        <v>1343</v>
      </c>
      <c r="C312" s="450" t="s">
        <v>1413</v>
      </c>
      <c r="D312" s="450" t="s">
        <v>1354</v>
      </c>
      <c r="E312" s="450" t="s">
        <v>1359</v>
      </c>
      <c r="F312" s="450" t="s">
        <v>1413</v>
      </c>
      <c r="G312" s="450"/>
      <c r="H312" s="450"/>
      <c r="I312" s="450"/>
      <c r="J312" s="450"/>
      <c r="K312" s="647" t="s">
        <v>2319</v>
      </c>
      <c r="L312" s="641"/>
      <c r="M312" s="641"/>
      <c r="N312" s="641"/>
      <c r="O312" s="641">
        <f>+L312+M312-N312</f>
        <v>0</v>
      </c>
      <c r="P312" s="641"/>
      <c r="Q312" s="641"/>
      <c r="R312" s="641"/>
      <c r="S312" s="641"/>
      <c r="T312" s="641"/>
      <c r="U312" s="641"/>
      <c r="V312" s="648" t="e">
        <f t="shared" si="97"/>
        <v>#DIV/0!</v>
      </c>
      <c r="W312" s="644"/>
      <c r="X312" s="584" t="e">
        <f t="shared" si="95"/>
        <v>#DIV/0!</v>
      </c>
      <c r="Y312" s="584" t="e">
        <f t="shared" si="95"/>
        <v>#DIV/0!</v>
      </c>
      <c r="Z312" s="584" t="e">
        <f t="shared" si="95"/>
        <v>#DIV/0!</v>
      </c>
      <c r="AA312" s="584" t="e">
        <f t="shared" si="95"/>
        <v>#DIV/0!</v>
      </c>
    </row>
    <row r="313" spans="1:27" ht="22.5" hidden="1" customHeight="1" thickTop="1" thickBot="1" x14ac:dyDescent="0.3">
      <c r="A313" s="451">
        <v>1</v>
      </c>
      <c r="B313" s="450" t="s">
        <v>1343</v>
      </c>
      <c r="C313" s="450" t="s">
        <v>1413</v>
      </c>
      <c r="D313" s="450" t="s">
        <v>1354</v>
      </c>
      <c r="E313" s="450" t="s">
        <v>1359</v>
      </c>
      <c r="F313" s="450" t="s">
        <v>2076</v>
      </c>
      <c r="G313" s="450"/>
      <c r="H313" s="450"/>
      <c r="I313" s="450"/>
      <c r="J313" s="450"/>
      <c r="K313" s="647" t="s">
        <v>2320</v>
      </c>
      <c r="L313" s="641"/>
      <c r="M313" s="641"/>
      <c r="N313" s="641"/>
      <c r="O313" s="641">
        <f>+L313+M313-N313</f>
        <v>0</v>
      </c>
      <c r="P313" s="641"/>
      <c r="Q313" s="641"/>
      <c r="R313" s="641"/>
      <c r="S313" s="641"/>
      <c r="T313" s="641"/>
      <c r="U313" s="641"/>
      <c r="V313" s="648" t="e">
        <f t="shared" si="97"/>
        <v>#DIV/0!</v>
      </c>
      <c r="W313" s="644"/>
      <c r="X313" s="584" t="e">
        <f t="shared" si="95"/>
        <v>#DIV/0!</v>
      </c>
      <c r="Y313" s="584" t="e">
        <f t="shared" si="95"/>
        <v>#DIV/0!</v>
      </c>
      <c r="Z313" s="584" t="e">
        <f t="shared" si="95"/>
        <v>#DIV/0!</v>
      </c>
      <c r="AA313" s="584" t="e">
        <f t="shared" si="95"/>
        <v>#DIV/0!</v>
      </c>
    </row>
    <row r="314" spans="1:27" s="617" customFormat="1" ht="22.5" customHeight="1" thickTop="1" thickBot="1" x14ac:dyDescent="0.3">
      <c r="A314" s="611">
        <v>1</v>
      </c>
      <c r="B314" s="448" t="s">
        <v>1343</v>
      </c>
      <c r="C314" s="448" t="s">
        <v>1413</v>
      </c>
      <c r="D314" s="448" t="s">
        <v>1358</v>
      </c>
      <c r="E314" s="448"/>
      <c r="F314" s="448"/>
      <c r="G314" s="448"/>
      <c r="H314" s="448"/>
      <c r="I314" s="448"/>
      <c r="J314" s="448"/>
      <c r="K314" s="612" t="s">
        <v>2321</v>
      </c>
      <c r="L314" s="613">
        <f t="shared" ref="L314:U314" si="111">+L315+L316+L347+L348+L349+L350</f>
        <v>94420766</v>
      </c>
      <c r="M314" s="613">
        <f t="shared" si="111"/>
        <v>1216500</v>
      </c>
      <c r="N314" s="613">
        <f t="shared" si="111"/>
        <v>0</v>
      </c>
      <c r="O314" s="613">
        <f t="shared" si="111"/>
        <v>95637266</v>
      </c>
      <c r="P314" s="613">
        <f t="shared" si="111"/>
        <v>0</v>
      </c>
      <c r="Q314" s="613">
        <f t="shared" si="111"/>
        <v>94711199</v>
      </c>
      <c r="R314" s="613">
        <f t="shared" si="111"/>
        <v>926067.00000000012</v>
      </c>
      <c r="S314" s="613">
        <f t="shared" si="111"/>
        <v>0</v>
      </c>
      <c r="T314" s="613">
        <f t="shared" si="111"/>
        <v>70960321</v>
      </c>
      <c r="U314" s="613">
        <f t="shared" si="111"/>
        <v>71893347</v>
      </c>
      <c r="V314" s="614">
        <f t="shared" si="97"/>
        <v>1.0131485594604341</v>
      </c>
      <c r="W314" s="615"/>
      <c r="X314" s="616">
        <f t="shared" si="95"/>
        <v>0</v>
      </c>
      <c r="Y314" s="616">
        <f t="shared" si="95"/>
        <v>0.99031688128767714</v>
      </c>
      <c r="Z314" s="616">
        <f t="shared" si="95"/>
        <v>9.6831187123228735E-3</v>
      </c>
      <c r="AA314" s="616">
        <f t="shared" si="95"/>
        <v>0</v>
      </c>
    </row>
    <row r="315" spans="1:27" s="625" customFormat="1" ht="22.5" hidden="1" customHeight="1" thickTop="1" thickBot="1" x14ac:dyDescent="0.3">
      <c r="A315" s="618">
        <v>1</v>
      </c>
      <c r="B315" s="619" t="s">
        <v>1343</v>
      </c>
      <c r="C315" s="619" t="s">
        <v>1413</v>
      </c>
      <c r="D315" s="619" t="s">
        <v>1358</v>
      </c>
      <c r="E315" s="619" t="s">
        <v>1345</v>
      </c>
      <c r="F315" s="619"/>
      <c r="G315" s="619"/>
      <c r="H315" s="619"/>
      <c r="I315" s="619"/>
      <c r="J315" s="619"/>
      <c r="K315" s="687" t="s">
        <v>2322</v>
      </c>
      <c r="L315" s="621">
        <v>0</v>
      </c>
      <c r="M315" s="621">
        <v>0</v>
      </c>
      <c r="N315" s="621">
        <v>0</v>
      </c>
      <c r="O315" s="621">
        <f>+L315+M315-N315</f>
        <v>0</v>
      </c>
      <c r="P315" s="621"/>
      <c r="Q315" s="621"/>
      <c r="R315" s="621"/>
      <c r="S315" s="621"/>
      <c r="T315" s="621"/>
      <c r="U315" s="621">
        <v>0</v>
      </c>
      <c r="V315" s="622" t="e">
        <f t="shared" si="97"/>
        <v>#DIV/0!</v>
      </c>
      <c r="W315" s="623"/>
      <c r="X315" s="625" t="e">
        <f t="shared" si="95"/>
        <v>#DIV/0!</v>
      </c>
      <c r="Y315" s="625" t="e">
        <f t="shared" si="95"/>
        <v>#DIV/0!</v>
      </c>
      <c r="Z315" s="625" t="e">
        <f t="shared" si="95"/>
        <v>#DIV/0!</v>
      </c>
      <c r="AA315" s="625" t="e">
        <f t="shared" si="95"/>
        <v>#DIV/0!</v>
      </c>
    </row>
    <row r="316" spans="1:27" s="625" customFormat="1" ht="22.5" customHeight="1" thickTop="1" thickBot="1" x14ac:dyDescent="0.3">
      <c r="A316" s="618">
        <v>1</v>
      </c>
      <c r="B316" s="619" t="s">
        <v>1343</v>
      </c>
      <c r="C316" s="619" t="s">
        <v>1413</v>
      </c>
      <c r="D316" s="619" t="s">
        <v>1358</v>
      </c>
      <c r="E316" s="619" t="s">
        <v>1350</v>
      </c>
      <c r="F316" s="619"/>
      <c r="G316" s="619"/>
      <c r="H316" s="619"/>
      <c r="I316" s="619"/>
      <c r="J316" s="619"/>
      <c r="K316" s="687" t="s">
        <v>2323</v>
      </c>
      <c r="L316" s="621">
        <f>SUM(L317:L346)</f>
        <v>94420766</v>
      </c>
      <c r="M316" s="621">
        <f>SUM(M317:M346)</f>
        <v>1216500</v>
      </c>
      <c r="N316" s="621">
        <f>SUM(N317:N346)</f>
        <v>0</v>
      </c>
      <c r="O316" s="621">
        <f>+L316+M316-N316</f>
        <v>95637266</v>
      </c>
      <c r="P316" s="621">
        <f t="shared" ref="P316:U316" si="112">SUM(P317:P346)</f>
        <v>0</v>
      </c>
      <c r="Q316" s="621">
        <f t="shared" si="112"/>
        <v>94711199</v>
      </c>
      <c r="R316" s="621">
        <f t="shared" si="112"/>
        <v>926067.00000000012</v>
      </c>
      <c r="S316" s="621">
        <f t="shared" si="112"/>
        <v>0</v>
      </c>
      <c r="T316" s="621">
        <f t="shared" si="112"/>
        <v>70960321</v>
      </c>
      <c r="U316" s="621">
        <f t="shared" si="112"/>
        <v>71893347</v>
      </c>
      <c r="V316" s="622">
        <f t="shared" si="97"/>
        <v>1.0131485594604341</v>
      </c>
      <c r="W316" s="623"/>
      <c r="X316" s="624">
        <f t="shared" si="95"/>
        <v>0</v>
      </c>
      <c r="Y316" s="624">
        <f t="shared" si="95"/>
        <v>0.99031688128767714</v>
      </c>
      <c r="Z316" s="624">
        <f t="shared" si="95"/>
        <v>9.6831187123228735E-3</v>
      </c>
      <c r="AA316" s="624">
        <f t="shared" si="95"/>
        <v>0</v>
      </c>
    </row>
    <row r="317" spans="1:27" ht="22.5" customHeight="1" thickTop="1" thickBot="1" x14ac:dyDescent="0.3">
      <c r="A317" s="451">
        <v>1</v>
      </c>
      <c r="B317" s="450" t="s">
        <v>1343</v>
      </c>
      <c r="C317" s="450" t="s">
        <v>1413</v>
      </c>
      <c r="D317" s="450" t="s">
        <v>1358</v>
      </c>
      <c r="E317" s="450" t="s">
        <v>1350</v>
      </c>
      <c r="F317" s="450" t="s">
        <v>1345</v>
      </c>
      <c r="G317" s="450"/>
      <c r="H317" s="450"/>
      <c r="I317" s="450"/>
      <c r="J317" s="450"/>
      <c r="K317" s="639" t="s">
        <v>2324</v>
      </c>
      <c r="L317" s="641">
        <v>32157524</v>
      </c>
      <c r="M317" s="641">
        <v>0</v>
      </c>
      <c r="N317" s="641">
        <v>0</v>
      </c>
      <c r="O317" s="642">
        <f>+L317+M317-N317</f>
        <v>32157524</v>
      </c>
      <c r="P317" s="642"/>
      <c r="Q317" s="642">
        <v>32157524</v>
      </c>
      <c r="R317" s="642"/>
      <c r="S317" s="642"/>
      <c r="T317" s="642">
        <v>22782984</v>
      </c>
      <c r="U317" s="642">
        <v>22782984</v>
      </c>
      <c r="V317" s="643">
        <f t="shared" si="97"/>
        <v>1</v>
      </c>
      <c r="W317" s="665"/>
      <c r="X317" s="646">
        <f t="shared" si="95"/>
        <v>0</v>
      </c>
      <c r="Y317" s="646">
        <f t="shared" si="95"/>
        <v>1</v>
      </c>
      <c r="Z317" s="646">
        <f t="shared" si="95"/>
        <v>0</v>
      </c>
      <c r="AA317" s="646">
        <f t="shared" si="95"/>
        <v>0</v>
      </c>
    </row>
    <row r="318" spans="1:27" ht="21.75" hidden="1" customHeight="1" thickTop="1" thickBot="1" x14ac:dyDescent="0.3">
      <c r="A318" s="451">
        <v>1</v>
      </c>
      <c r="B318" s="450" t="s">
        <v>1343</v>
      </c>
      <c r="C318" s="450" t="s">
        <v>1413</v>
      </c>
      <c r="D318" s="450" t="s">
        <v>1358</v>
      </c>
      <c r="E318" s="450" t="s">
        <v>1350</v>
      </c>
      <c r="F318" s="450" t="s">
        <v>1350</v>
      </c>
      <c r="G318" s="450"/>
      <c r="H318" s="450"/>
      <c r="I318" s="450"/>
      <c r="J318" s="450"/>
      <c r="K318" s="647" t="s">
        <v>2325</v>
      </c>
      <c r="L318" s="641"/>
      <c r="M318" s="641"/>
      <c r="N318" s="641">
        <v>0</v>
      </c>
      <c r="O318" s="641">
        <f t="shared" ref="O318:O350" si="113">+L318+M318-N318</f>
        <v>0</v>
      </c>
      <c r="P318" s="641"/>
      <c r="Q318" s="641"/>
      <c r="R318" s="641"/>
      <c r="S318" s="641"/>
      <c r="T318" s="641"/>
      <c r="U318" s="641"/>
      <c r="V318" s="648" t="e">
        <f t="shared" si="97"/>
        <v>#DIV/0!</v>
      </c>
      <c r="W318" s="644"/>
      <c r="X318" s="584" t="e">
        <f t="shared" si="95"/>
        <v>#DIV/0!</v>
      </c>
      <c r="Y318" s="584" t="e">
        <f t="shared" si="95"/>
        <v>#DIV/0!</v>
      </c>
      <c r="Z318" s="584" t="e">
        <f t="shared" si="95"/>
        <v>#DIV/0!</v>
      </c>
      <c r="AA318" s="584" t="e">
        <f t="shared" si="95"/>
        <v>#DIV/0!</v>
      </c>
    </row>
    <row r="319" spans="1:27" ht="21" hidden="1" customHeight="1" thickTop="1" thickBot="1" x14ac:dyDescent="0.3">
      <c r="A319" s="451">
        <v>1</v>
      </c>
      <c r="B319" s="450" t="s">
        <v>1343</v>
      </c>
      <c r="C319" s="450" t="s">
        <v>1413</v>
      </c>
      <c r="D319" s="450" t="s">
        <v>1358</v>
      </c>
      <c r="E319" s="450" t="s">
        <v>1350</v>
      </c>
      <c r="F319" s="450" t="s">
        <v>1354</v>
      </c>
      <c r="G319" s="450"/>
      <c r="H319" s="450"/>
      <c r="I319" s="450"/>
      <c r="J319" s="450"/>
      <c r="K319" s="647" t="s">
        <v>2326</v>
      </c>
      <c r="L319" s="641"/>
      <c r="M319" s="641"/>
      <c r="N319" s="641">
        <v>0</v>
      </c>
      <c r="O319" s="641">
        <f t="shared" si="113"/>
        <v>0</v>
      </c>
      <c r="P319" s="641"/>
      <c r="Q319" s="641"/>
      <c r="R319" s="641"/>
      <c r="S319" s="641"/>
      <c r="T319" s="641"/>
      <c r="U319" s="641"/>
      <c r="V319" s="648" t="e">
        <f t="shared" si="97"/>
        <v>#DIV/0!</v>
      </c>
      <c r="W319" s="644"/>
      <c r="X319" s="584" t="e">
        <f t="shared" si="95"/>
        <v>#DIV/0!</v>
      </c>
      <c r="Y319" s="584" t="e">
        <f t="shared" si="95"/>
        <v>#DIV/0!</v>
      </c>
      <c r="Z319" s="584" t="e">
        <f t="shared" si="95"/>
        <v>#DIV/0!</v>
      </c>
      <c r="AA319" s="584" t="e">
        <f t="shared" si="95"/>
        <v>#DIV/0!</v>
      </c>
    </row>
    <row r="320" spans="1:27" ht="24.75" customHeight="1" thickTop="1" thickBot="1" x14ac:dyDescent="0.3">
      <c r="A320" s="451">
        <v>1</v>
      </c>
      <c r="B320" s="450" t="s">
        <v>1343</v>
      </c>
      <c r="C320" s="450" t="s">
        <v>1413</v>
      </c>
      <c r="D320" s="450" t="s">
        <v>1358</v>
      </c>
      <c r="E320" s="450" t="s">
        <v>1350</v>
      </c>
      <c r="F320" s="450" t="s">
        <v>1355</v>
      </c>
      <c r="G320" s="450"/>
      <c r="H320" s="450"/>
      <c r="I320" s="450"/>
      <c r="J320" s="450"/>
      <c r="K320" s="647" t="s">
        <v>2327</v>
      </c>
      <c r="L320" s="641"/>
      <c r="M320" s="641">
        <v>280000</v>
      </c>
      <c r="N320" s="641">
        <v>0</v>
      </c>
      <c r="O320" s="642">
        <v>280000</v>
      </c>
      <c r="P320" s="642"/>
      <c r="Q320" s="642">
        <v>252000</v>
      </c>
      <c r="R320" s="642">
        <v>28000</v>
      </c>
      <c r="S320" s="642"/>
      <c r="T320" s="688">
        <v>2169402</v>
      </c>
      <c r="U320" s="688">
        <v>2169402</v>
      </c>
      <c r="V320" s="648">
        <f t="shared" si="97"/>
        <v>1</v>
      </c>
      <c r="W320" s="644"/>
      <c r="X320" s="584">
        <f t="shared" si="95"/>
        <v>0</v>
      </c>
      <c r="Y320" s="584">
        <f t="shared" si="95"/>
        <v>0.9</v>
      </c>
      <c r="Z320" s="584">
        <f t="shared" si="95"/>
        <v>0.1</v>
      </c>
      <c r="AA320" s="584">
        <f t="shared" si="95"/>
        <v>0</v>
      </c>
    </row>
    <row r="321" spans="1:27" ht="26.25" hidden="1" customHeight="1" thickTop="1" thickBot="1" x14ac:dyDescent="0.3">
      <c r="A321" s="451">
        <v>1</v>
      </c>
      <c r="B321" s="450" t="s">
        <v>1343</v>
      </c>
      <c r="C321" s="450" t="s">
        <v>1413</v>
      </c>
      <c r="D321" s="450" t="s">
        <v>1358</v>
      </c>
      <c r="E321" s="450" t="s">
        <v>1350</v>
      </c>
      <c r="F321" s="450" t="s">
        <v>1358</v>
      </c>
      <c r="G321" s="450"/>
      <c r="H321" s="450"/>
      <c r="I321" s="450"/>
      <c r="J321" s="450"/>
      <c r="K321" s="647" t="s">
        <v>2328</v>
      </c>
      <c r="L321" s="641"/>
      <c r="M321" s="641"/>
      <c r="N321" s="641">
        <v>0</v>
      </c>
      <c r="O321" s="641">
        <f t="shared" si="113"/>
        <v>0</v>
      </c>
      <c r="P321" s="641"/>
      <c r="Q321" s="641"/>
      <c r="R321" s="641"/>
      <c r="S321" s="641"/>
      <c r="T321" s="641"/>
      <c r="U321" s="641"/>
      <c r="V321" s="648" t="e">
        <f t="shared" si="97"/>
        <v>#DIV/0!</v>
      </c>
      <c r="W321" s="644"/>
      <c r="X321" s="584" t="e">
        <f t="shared" si="95"/>
        <v>#DIV/0!</v>
      </c>
      <c r="Y321" s="584" t="e">
        <f t="shared" si="95"/>
        <v>#DIV/0!</v>
      </c>
      <c r="Z321" s="584" t="e">
        <f t="shared" si="95"/>
        <v>#DIV/0!</v>
      </c>
      <c r="AA321" s="584" t="e">
        <f t="shared" si="95"/>
        <v>#DIV/0!</v>
      </c>
    </row>
    <row r="322" spans="1:27" ht="22.5" hidden="1" customHeight="1" thickTop="1" thickBot="1" x14ac:dyDescent="0.3">
      <c r="A322" s="451">
        <v>1</v>
      </c>
      <c r="B322" s="450" t="s">
        <v>1343</v>
      </c>
      <c r="C322" s="450" t="s">
        <v>1413</v>
      </c>
      <c r="D322" s="450" t="s">
        <v>1358</v>
      </c>
      <c r="E322" s="450" t="s">
        <v>1350</v>
      </c>
      <c r="F322" s="450" t="s">
        <v>1359</v>
      </c>
      <c r="G322" s="450"/>
      <c r="H322" s="450"/>
      <c r="I322" s="450"/>
      <c r="J322" s="450"/>
      <c r="K322" s="647" t="s">
        <v>2329</v>
      </c>
      <c r="L322" s="641"/>
      <c r="M322" s="641"/>
      <c r="N322" s="641">
        <v>0</v>
      </c>
      <c r="O322" s="641">
        <f t="shared" si="113"/>
        <v>0</v>
      </c>
      <c r="P322" s="641"/>
      <c r="Q322" s="641"/>
      <c r="R322" s="641"/>
      <c r="S322" s="641"/>
      <c r="T322" s="641"/>
      <c r="U322" s="641"/>
      <c r="V322" s="648" t="e">
        <f t="shared" si="97"/>
        <v>#DIV/0!</v>
      </c>
      <c r="W322" s="644"/>
      <c r="X322" s="584" t="e">
        <f t="shared" si="95"/>
        <v>#DIV/0!</v>
      </c>
      <c r="Y322" s="584" t="e">
        <f t="shared" si="95"/>
        <v>#DIV/0!</v>
      </c>
      <c r="Z322" s="584" t="e">
        <f t="shared" si="95"/>
        <v>#DIV/0!</v>
      </c>
      <c r="AA322" s="584" t="e">
        <f t="shared" si="95"/>
        <v>#DIV/0!</v>
      </c>
    </row>
    <row r="323" spans="1:27" ht="18" customHeight="1" thickTop="1" thickBot="1" x14ac:dyDescent="0.3">
      <c r="A323" s="451">
        <v>1</v>
      </c>
      <c r="B323" s="450" t="s">
        <v>1343</v>
      </c>
      <c r="C323" s="450" t="s">
        <v>1413</v>
      </c>
      <c r="D323" s="450" t="s">
        <v>1358</v>
      </c>
      <c r="E323" s="450" t="s">
        <v>1350</v>
      </c>
      <c r="F323" s="450" t="s">
        <v>1360</v>
      </c>
      <c r="G323" s="450"/>
      <c r="H323" s="450"/>
      <c r="I323" s="450"/>
      <c r="J323" s="450"/>
      <c r="K323" s="647" t="s">
        <v>2330</v>
      </c>
      <c r="L323" s="641"/>
      <c r="M323" s="641">
        <v>600069</v>
      </c>
      <c r="N323" s="641">
        <v>0</v>
      </c>
      <c r="O323" s="642">
        <v>600069</v>
      </c>
      <c r="P323" s="642"/>
      <c r="Q323" s="642">
        <v>540062</v>
      </c>
      <c r="R323" s="642">
        <v>60007</v>
      </c>
      <c r="S323" s="642"/>
      <c r="T323" s="642">
        <v>5975675</v>
      </c>
      <c r="U323" s="688">
        <v>5975675</v>
      </c>
      <c r="V323" s="648">
        <f t="shared" si="97"/>
        <v>1</v>
      </c>
      <c r="W323" s="644"/>
      <c r="X323" s="584">
        <f t="shared" si="95"/>
        <v>0</v>
      </c>
      <c r="Y323" s="584">
        <f t="shared" si="95"/>
        <v>0.89999983335249778</v>
      </c>
      <c r="Z323" s="584">
        <f t="shared" si="95"/>
        <v>0.10000016664750221</v>
      </c>
      <c r="AA323" s="584">
        <f t="shared" si="95"/>
        <v>0</v>
      </c>
    </row>
    <row r="324" spans="1:27" ht="25.5" hidden="1" customHeight="1" thickTop="1" thickBot="1" x14ac:dyDescent="0.3">
      <c r="A324" s="451">
        <v>1</v>
      </c>
      <c r="B324" s="450" t="s">
        <v>1343</v>
      </c>
      <c r="C324" s="450" t="s">
        <v>1413</v>
      </c>
      <c r="D324" s="450" t="s">
        <v>1358</v>
      </c>
      <c r="E324" s="450" t="s">
        <v>1350</v>
      </c>
      <c r="F324" s="450" t="s">
        <v>1361</v>
      </c>
      <c r="G324" s="450"/>
      <c r="H324" s="450"/>
      <c r="I324" s="450"/>
      <c r="J324" s="450"/>
      <c r="K324" s="647" t="s">
        <v>2331</v>
      </c>
      <c r="L324" s="641"/>
      <c r="M324" s="641"/>
      <c r="N324" s="641">
        <v>0</v>
      </c>
      <c r="O324" s="641">
        <f t="shared" si="113"/>
        <v>0</v>
      </c>
      <c r="P324" s="641"/>
      <c r="Q324" s="641"/>
      <c r="R324" s="641"/>
      <c r="S324" s="641"/>
      <c r="T324" s="641"/>
      <c r="U324" s="641"/>
      <c r="V324" s="648" t="e">
        <f t="shared" si="97"/>
        <v>#DIV/0!</v>
      </c>
      <c r="W324" s="644"/>
      <c r="X324" s="584" t="e">
        <f t="shared" si="95"/>
        <v>#DIV/0!</v>
      </c>
      <c r="Y324" s="584" t="e">
        <f t="shared" si="95"/>
        <v>#DIV/0!</v>
      </c>
      <c r="Z324" s="584" t="e">
        <f t="shared" si="95"/>
        <v>#DIV/0!</v>
      </c>
      <c r="AA324" s="584" t="e">
        <f t="shared" si="95"/>
        <v>#DIV/0!</v>
      </c>
    </row>
    <row r="325" spans="1:27" ht="22.5" customHeight="1" thickTop="1" thickBot="1" x14ac:dyDescent="0.3">
      <c r="A325" s="451">
        <v>1</v>
      </c>
      <c r="B325" s="450" t="s">
        <v>1343</v>
      </c>
      <c r="C325" s="450" t="s">
        <v>1413</v>
      </c>
      <c r="D325" s="450" t="s">
        <v>1358</v>
      </c>
      <c r="E325" s="450" t="s">
        <v>1350</v>
      </c>
      <c r="F325" s="450" t="s">
        <v>1390</v>
      </c>
      <c r="G325" s="450"/>
      <c r="H325" s="450"/>
      <c r="I325" s="450"/>
      <c r="J325" s="450"/>
      <c r="K325" s="639" t="s">
        <v>2332</v>
      </c>
      <c r="L325" s="642">
        <v>844468</v>
      </c>
      <c r="M325" s="642">
        <v>336431</v>
      </c>
      <c r="N325" s="642">
        <v>0</v>
      </c>
      <c r="O325" s="642">
        <f t="shared" si="113"/>
        <v>1180899</v>
      </c>
      <c r="P325" s="642"/>
      <c r="Q325" s="642">
        <f>+O325-R325</f>
        <v>1062809</v>
      </c>
      <c r="R325" s="642">
        <f>+O325*10%+0.1</f>
        <v>118090.00000000001</v>
      </c>
      <c r="S325" s="642"/>
      <c r="T325" s="642">
        <v>4822930</v>
      </c>
      <c r="U325" s="642">
        <v>4822930</v>
      </c>
      <c r="V325" s="643">
        <f t="shared" si="97"/>
        <v>1</v>
      </c>
      <c r="W325" s="665"/>
      <c r="X325" s="646">
        <f t="shared" si="95"/>
        <v>0</v>
      </c>
      <c r="Y325" s="646">
        <f t="shared" si="95"/>
        <v>0.8999999153187529</v>
      </c>
      <c r="Z325" s="646">
        <f t="shared" si="95"/>
        <v>0.10000008468124709</v>
      </c>
      <c r="AA325" s="646">
        <f t="shared" si="95"/>
        <v>0</v>
      </c>
    </row>
    <row r="326" spans="1:27" ht="22.5" customHeight="1" thickTop="1" thickBot="1" x14ac:dyDescent="0.3">
      <c r="A326" s="451">
        <v>1</v>
      </c>
      <c r="B326" s="450" t="s">
        <v>1343</v>
      </c>
      <c r="C326" s="450" t="s">
        <v>1413</v>
      </c>
      <c r="D326" s="450" t="s">
        <v>1358</v>
      </c>
      <c r="E326" s="450" t="s">
        <v>1350</v>
      </c>
      <c r="F326" s="450" t="s">
        <v>1391</v>
      </c>
      <c r="G326" s="450"/>
      <c r="H326" s="450"/>
      <c r="I326" s="450"/>
      <c r="J326" s="450"/>
      <c r="K326" s="639" t="s">
        <v>2333</v>
      </c>
      <c r="L326" s="641">
        <v>7169687</v>
      </c>
      <c r="M326" s="641">
        <v>0</v>
      </c>
      <c r="N326" s="641">
        <v>0</v>
      </c>
      <c r="O326" s="642">
        <f t="shared" si="113"/>
        <v>7169687</v>
      </c>
      <c r="P326" s="642"/>
      <c r="Q326" s="642">
        <f t="shared" ref="Q326" si="114">+O326-R326</f>
        <v>6452718</v>
      </c>
      <c r="R326" s="642">
        <f>+O326*10%+0.3</f>
        <v>716969.00000000012</v>
      </c>
      <c r="S326" s="642"/>
      <c r="T326" s="642">
        <v>1181731</v>
      </c>
      <c r="U326" s="642">
        <v>1181731</v>
      </c>
      <c r="V326" s="643">
        <f t="shared" si="97"/>
        <v>1</v>
      </c>
      <c r="W326" s="665"/>
      <c r="X326" s="646">
        <f t="shared" si="95"/>
        <v>0</v>
      </c>
      <c r="Y326" s="646">
        <f t="shared" si="95"/>
        <v>0.89999995815716916</v>
      </c>
      <c r="Z326" s="646">
        <f t="shared" si="95"/>
        <v>0.10000004184283082</v>
      </c>
      <c r="AA326" s="646">
        <f t="shared" si="95"/>
        <v>0</v>
      </c>
    </row>
    <row r="327" spans="1:27" ht="22.5" customHeight="1" thickTop="1" thickBot="1" x14ac:dyDescent="0.3">
      <c r="A327" s="451">
        <v>1</v>
      </c>
      <c r="B327" s="450" t="s">
        <v>1343</v>
      </c>
      <c r="C327" s="450" t="s">
        <v>1413</v>
      </c>
      <c r="D327" s="450" t="s">
        <v>1358</v>
      </c>
      <c r="E327" s="450" t="s">
        <v>1350</v>
      </c>
      <c r="F327" s="450" t="s">
        <v>1392</v>
      </c>
      <c r="G327" s="450"/>
      <c r="H327" s="450"/>
      <c r="I327" s="450"/>
      <c r="J327" s="450"/>
      <c r="K327" s="639" t="s">
        <v>2334</v>
      </c>
      <c r="L327" s="641">
        <v>30006</v>
      </c>
      <c r="M327" s="641">
        <v>0</v>
      </c>
      <c r="N327" s="641">
        <v>0</v>
      </c>
      <c r="O327" s="642">
        <f t="shared" si="113"/>
        <v>30006</v>
      </c>
      <c r="P327" s="642"/>
      <c r="Q327" s="642">
        <v>27005</v>
      </c>
      <c r="R327" s="642">
        <f>+O327*10%-0.6+1</f>
        <v>3001.0000000000005</v>
      </c>
      <c r="S327" s="642"/>
      <c r="T327" s="642">
        <v>13800</v>
      </c>
      <c r="U327" s="642">
        <v>13800</v>
      </c>
      <c r="V327" s="643">
        <f t="shared" si="97"/>
        <v>1</v>
      </c>
      <c r="W327" s="665"/>
      <c r="X327" s="646">
        <f t="shared" si="95"/>
        <v>0</v>
      </c>
      <c r="Y327" s="646">
        <f t="shared" si="95"/>
        <v>0.89998666933280014</v>
      </c>
      <c r="Z327" s="646">
        <f t="shared" si="95"/>
        <v>0.1000133306671999</v>
      </c>
      <c r="AA327" s="646">
        <f t="shared" ref="AA327:AA390" si="115">+S327/$O327</f>
        <v>0</v>
      </c>
    </row>
    <row r="328" spans="1:27" ht="19.5" hidden="1" customHeight="1" thickTop="1" thickBot="1" x14ac:dyDescent="0.3">
      <c r="A328" s="451">
        <v>1</v>
      </c>
      <c r="B328" s="450" t="s">
        <v>1343</v>
      </c>
      <c r="C328" s="450" t="s">
        <v>1413</v>
      </c>
      <c r="D328" s="450" t="s">
        <v>1358</v>
      </c>
      <c r="E328" s="450" t="s">
        <v>1350</v>
      </c>
      <c r="F328" s="450" t="s">
        <v>1393</v>
      </c>
      <c r="G328" s="450"/>
      <c r="H328" s="450"/>
      <c r="I328" s="450"/>
      <c r="J328" s="450"/>
      <c r="K328" s="647" t="s">
        <v>2335</v>
      </c>
      <c r="L328" s="641">
        <v>0</v>
      </c>
      <c r="M328" s="641">
        <v>0</v>
      </c>
      <c r="N328" s="641">
        <v>0</v>
      </c>
      <c r="O328" s="641">
        <f t="shared" si="113"/>
        <v>0</v>
      </c>
      <c r="P328" s="641"/>
      <c r="Q328" s="641">
        <f>+O328</f>
        <v>0</v>
      </c>
      <c r="R328" s="641"/>
      <c r="S328" s="641"/>
      <c r="T328" s="641">
        <v>0</v>
      </c>
      <c r="U328" s="641">
        <v>0</v>
      </c>
      <c r="V328" s="648" t="e">
        <f t="shared" si="97"/>
        <v>#DIV/0!</v>
      </c>
      <c r="W328" s="644"/>
      <c r="X328" s="584" t="e">
        <f t="shared" ref="X328:AA391" si="116">+P328/$O328</f>
        <v>#DIV/0!</v>
      </c>
      <c r="Y328" s="584" t="e">
        <f t="shared" si="116"/>
        <v>#DIV/0!</v>
      </c>
      <c r="Z328" s="584" t="e">
        <f t="shared" si="116"/>
        <v>#DIV/0!</v>
      </c>
      <c r="AA328" s="584" t="e">
        <f t="shared" si="115"/>
        <v>#DIV/0!</v>
      </c>
    </row>
    <row r="329" spans="1:27" ht="23.25" customHeight="1" thickTop="1" thickBot="1" x14ac:dyDescent="0.3">
      <c r="A329" s="451">
        <v>1</v>
      </c>
      <c r="B329" s="450" t="s">
        <v>1343</v>
      </c>
      <c r="C329" s="450" t="s">
        <v>1413</v>
      </c>
      <c r="D329" s="450" t="s">
        <v>1358</v>
      </c>
      <c r="E329" s="450" t="s">
        <v>1350</v>
      </c>
      <c r="F329" s="450" t="s">
        <v>2151</v>
      </c>
      <c r="G329" s="450"/>
      <c r="H329" s="450"/>
      <c r="I329" s="450"/>
      <c r="J329" s="450"/>
      <c r="K329" s="639" t="s">
        <v>2336</v>
      </c>
      <c r="L329" s="641">
        <v>54219081</v>
      </c>
      <c r="M329" s="641">
        <v>0</v>
      </c>
      <c r="N329" s="641">
        <v>0</v>
      </c>
      <c r="O329" s="642">
        <f t="shared" si="113"/>
        <v>54219081</v>
      </c>
      <c r="P329" s="642"/>
      <c r="Q329" s="642">
        <v>54219081</v>
      </c>
      <c r="R329" s="642"/>
      <c r="S329" s="642"/>
      <c r="T329" s="642">
        <v>34013799</v>
      </c>
      <c r="U329" s="642">
        <v>34946825</v>
      </c>
      <c r="V329" s="643">
        <f t="shared" si="97"/>
        <v>1.0274308083022423</v>
      </c>
      <c r="W329" s="665"/>
      <c r="X329" s="646">
        <f t="shared" si="116"/>
        <v>0</v>
      </c>
      <c r="Y329" s="646">
        <f t="shared" si="116"/>
        <v>1</v>
      </c>
      <c r="Z329" s="646">
        <f t="shared" si="116"/>
        <v>0</v>
      </c>
      <c r="AA329" s="646">
        <f t="shared" si="115"/>
        <v>0</v>
      </c>
    </row>
    <row r="330" spans="1:27" ht="21" hidden="1" customHeight="1" thickTop="1" thickBot="1" x14ac:dyDescent="0.3">
      <c r="A330" s="451">
        <v>1</v>
      </c>
      <c r="B330" s="450" t="s">
        <v>1343</v>
      </c>
      <c r="C330" s="450" t="s">
        <v>1413</v>
      </c>
      <c r="D330" s="450" t="s">
        <v>1358</v>
      </c>
      <c r="E330" s="450" t="s">
        <v>1350</v>
      </c>
      <c r="F330" s="450" t="s">
        <v>2215</v>
      </c>
      <c r="G330" s="450"/>
      <c r="H330" s="450"/>
      <c r="I330" s="450"/>
      <c r="J330" s="450"/>
      <c r="K330" s="647" t="s">
        <v>2337</v>
      </c>
      <c r="L330" s="641"/>
      <c r="M330" s="641"/>
      <c r="N330" s="641"/>
      <c r="O330" s="641">
        <f t="shared" si="113"/>
        <v>0</v>
      </c>
      <c r="P330" s="641"/>
      <c r="Q330" s="641"/>
      <c r="R330" s="641"/>
      <c r="S330" s="641"/>
      <c r="T330" s="641"/>
      <c r="U330" s="641"/>
      <c r="V330" s="648" t="e">
        <f t="shared" si="97"/>
        <v>#DIV/0!</v>
      </c>
      <c r="W330" s="644"/>
      <c r="X330" s="584" t="e">
        <f t="shared" si="116"/>
        <v>#DIV/0!</v>
      </c>
      <c r="Y330" s="584" t="e">
        <f t="shared" si="116"/>
        <v>#DIV/0!</v>
      </c>
      <c r="Z330" s="584" t="e">
        <f t="shared" si="116"/>
        <v>#DIV/0!</v>
      </c>
      <c r="AA330" s="584" t="e">
        <f t="shared" si="115"/>
        <v>#DIV/0!</v>
      </c>
    </row>
    <row r="331" spans="1:27" ht="21" hidden="1" customHeight="1" thickTop="1" thickBot="1" x14ac:dyDescent="0.3">
      <c r="A331" s="451">
        <v>1</v>
      </c>
      <c r="B331" s="450" t="s">
        <v>1343</v>
      </c>
      <c r="C331" s="450" t="s">
        <v>1413</v>
      </c>
      <c r="D331" s="450" t="s">
        <v>1358</v>
      </c>
      <c r="E331" s="450" t="s">
        <v>1350</v>
      </c>
      <c r="F331" s="450" t="s">
        <v>2338</v>
      </c>
      <c r="G331" s="450"/>
      <c r="H331" s="450"/>
      <c r="I331" s="450"/>
      <c r="J331" s="450"/>
      <c r="K331" s="647" t="s">
        <v>2339</v>
      </c>
      <c r="L331" s="641"/>
      <c r="M331" s="641"/>
      <c r="N331" s="641"/>
      <c r="O331" s="641">
        <f t="shared" si="113"/>
        <v>0</v>
      </c>
      <c r="P331" s="641"/>
      <c r="Q331" s="641"/>
      <c r="R331" s="641"/>
      <c r="S331" s="641"/>
      <c r="T331" s="641"/>
      <c r="U331" s="641"/>
      <c r="V331" s="648" t="e">
        <f t="shared" si="97"/>
        <v>#DIV/0!</v>
      </c>
      <c r="W331" s="644"/>
      <c r="X331" s="584" t="e">
        <f t="shared" si="116"/>
        <v>#DIV/0!</v>
      </c>
      <c r="Y331" s="584" t="e">
        <f t="shared" si="116"/>
        <v>#DIV/0!</v>
      </c>
      <c r="Z331" s="584" t="e">
        <f t="shared" si="116"/>
        <v>#DIV/0!</v>
      </c>
      <c r="AA331" s="584" t="e">
        <f t="shared" si="115"/>
        <v>#DIV/0!</v>
      </c>
    </row>
    <row r="332" spans="1:27" ht="23.25" hidden="1" customHeight="1" thickTop="1" thickBot="1" x14ac:dyDescent="0.3">
      <c r="A332" s="451">
        <v>1</v>
      </c>
      <c r="B332" s="450" t="s">
        <v>1343</v>
      </c>
      <c r="C332" s="450" t="s">
        <v>1413</v>
      </c>
      <c r="D332" s="450" t="s">
        <v>1358</v>
      </c>
      <c r="E332" s="450" t="s">
        <v>1350</v>
      </c>
      <c r="F332" s="450" t="s">
        <v>2340</v>
      </c>
      <c r="G332" s="450"/>
      <c r="H332" s="450"/>
      <c r="I332" s="450"/>
      <c r="J332" s="450"/>
      <c r="K332" s="647" t="s">
        <v>2341</v>
      </c>
      <c r="L332" s="641"/>
      <c r="M332" s="641"/>
      <c r="N332" s="641"/>
      <c r="O332" s="641">
        <f t="shared" si="113"/>
        <v>0</v>
      </c>
      <c r="P332" s="641"/>
      <c r="Q332" s="641"/>
      <c r="R332" s="641"/>
      <c r="S332" s="641"/>
      <c r="T332" s="641"/>
      <c r="U332" s="641"/>
      <c r="V332" s="648" t="e">
        <f t="shared" si="97"/>
        <v>#DIV/0!</v>
      </c>
      <c r="W332" s="644"/>
      <c r="X332" s="584" t="e">
        <f t="shared" si="116"/>
        <v>#DIV/0!</v>
      </c>
      <c r="Y332" s="584" t="e">
        <f t="shared" si="116"/>
        <v>#DIV/0!</v>
      </c>
      <c r="Z332" s="584" t="e">
        <f t="shared" si="116"/>
        <v>#DIV/0!</v>
      </c>
      <c r="AA332" s="584" t="e">
        <f t="shared" si="115"/>
        <v>#DIV/0!</v>
      </c>
    </row>
    <row r="333" spans="1:27" ht="26.25" hidden="1" customHeight="1" thickTop="1" thickBot="1" x14ac:dyDescent="0.3">
      <c r="A333" s="451">
        <v>1</v>
      </c>
      <c r="B333" s="450" t="s">
        <v>1343</v>
      </c>
      <c r="C333" s="450" t="s">
        <v>1413</v>
      </c>
      <c r="D333" s="450" t="s">
        <v>1358</v>
      </c>
      <c r="E333" s="450" t="s">
        <v>1350</v>
      </c>
      <c r="F333" s="450" t="s">
        <v>2342</v>
      </c>
      <c r="G333" s="450"/>
      <c r="H333" s="450"/>
      <c r="I333" s="450"/>
      <c r="J333" s="450"/>
      <c r="K333" s="647" t="s">
        <v>2343</v>
      </c>
      <c r="L333" s="641"/>
      <c r="M333" s="641"/>
      <c r="N333" s="641"/>
      <c r="O333" s="641">
        <f t="shared" si="113"/>
        <v>0</v>
      </c>
      <c r="P333" s="641"/>
      <c r="Q333" s="641"/>
      <c r="R333" s="641"/>
      <c r="S333" s="641"/>
      <c r="T333" s="641"/>
      <c r="U333" s="641"/>
      <c r="V333" s="648" t="e">
        <f t="shared" si="97"/>
        <v>#DIV/0!</v>
      </c>
      <c r="W333" s="644"/>
      <c r="X333" s="584" t="e">
        <f t="shared" si="116"/>
        <v>#DIV/0!</v>
      </c>
      <c r="Y333" s="584" t="e">
        <f t="shared" si="116"/>
        <v>#DIV/0!</v>
      </c>
      <c r="Z333" s="584" t="e">
        <f t="shared" si="116"/>
        <v>#DIV/0!</v>
      </c>
      <c r="AA333" s="584" t="e">
        <f t="shared" si="115"/>
        <v>#DIV/0!</v>
      </c>
    </row>
    <row r="334" spans="1:27" ht="11.25" hidden="1" customHeight="1" thickTop="1" thickBot="1" x14ac:dyDescent="0.3">
      <c r="A334" s="451">
        <v>1</v>
      </c>
      <c r="B334" s="450" t="s">
        <v>1343</v>
      </c>
      <c r="C334" s="450" t="s">
        <v>1413</v>
      </c>
      <c r="D334" s="450" t="s">
        <v>1358</v>
      </c>
      <c r="E334" s="450" t="s">
        <v>1350</v>
      </c>
      <c r="F334" s="450" t="s">
        <v>2344</v>
      </c>
      <c r="G334" s="450"/>
      <c r="H334" s="450"/>
      <c r="I334" s="450"/>
      <c r="J334" s="450"/>
      <c r="K334" s="647" t="s">
        <v>2345</v>
      </c>
      <c r="L334" s="641"/>
      <c r="M334" s="641"/>
      <c r="N334" s="641"/>
      <c r="O334" s="641">
        <f t="shared" si="113"/>
        <v>0</v>
      </c>
      <c r="P334" s="641"/>
      <c r="Q334" s="641"/>
      <c r="R334" s="641"/>
      <c r="S334" s="641"/>
      <c r="T334" s="641"/>
      <c r="U334" s="641"/>
      <c r="V334" s="648" t="e">
        <f t="shared" ref="V334:V397" si="117">+U334/T334</f>
        <v>#DIV/0!</v>
      </c>
      <c r="W334" s="644"/>
      <c r="X334" s="584" t="e">
        <f t="shared" si="116"/>
        <v>#DIV/0!</v>
      </c>
      <c r="Y334" s="584" t="e">
        <f t="shared" si="116"/>
        <v>#DIV/0!</v>
      </c>
      <c r="Z334" s="584" t="e">
        <f t="shared" si="116"/>
        <v>#DIV/0!</v>
      </c>
      <c r="AA334" s="584" t="e">
        <f t="shared" si="115"/>
        <v>#DIV/0!</v>
      </c>
    </row>
    <row r="335" spans="1:27" ht="18.75" hidden="1" customHeight="1" thickTop="1" thickBot="1" x14ac:dyDescent="0.3">
      <c r="A335" s="451">
        <v>1</v>
      </c>
      <c r="B335" s="450" t="s">
        <v>1343</v>
      </c>
      <c r="C335" s="450" t="s">
        <v>1413</v>
      </c>
      <c r="D335" s="450" t="s">
        <v>1358</v>
      </c>
      <c r="E335" s="450" t="s">
        <v>1350</v>
      </c>
      <c r="F335" s="450" t="s">
        <v>2346</v>
      </c>
      <c r="G335" s="450"/>
      <c r="H335" s="450"/>
      <c r="I335" s="450"/>
      <c r="J335" s="450"/>
      <c r="K335" s="647" t="s">
        <v>2347</v>
      </c>
      <c r="L335" s="641"/>
      <c r="M335" s="641"/>
      <c r="N335" s="641"/>
      <c r="O335" s="641">
        <f t="shared" si="113"/>
        <v>0</v>
      </c>
      <c r="P335" s="641"/>
      <c r="Q335" s="641"/>
      <c r="R335" s="641"/>
      <c r="S335" s="641"/>
      <c r="T335" s="641"/>
      <c r="U335" s="641"/>
      <c r="V335" s="648" t="e">
        <f t="shared" si="117"/>
        <v>#DIV/0!</v>
      </c>
      <c r="W335" s="644"/>
      <c r="X335" s="584" t="e">
        <f t="shared" si="116"/>
        <v>#DIV/0!</v>
      </c>
      <c r="Y335" s="584" t="e">
        <f t="shared" si="116"/>
        <v>#DIV/0!</v>
      </c>
      <c r="Z335" s="584" t="e">
        <f t="shared" si="116"/>
        <v>#DIV/0!</v>
      </c>
      <c r="AA335" s="584" t="e">
        <f t="shared" si="115"/>
        <v>#DIV/0!</v>
      </c>
    </row>
    <row r="336" spans="1:27" ht="22.5" hidden="1" customHeight="1" thickTop="1" thickBot="1" x14ac:dyDescent="0.3">
      <c r="A336" s="451">
        <v>1</v>
      </c>
      <c r="B336" s="450" t="s">
        <v>1343</v>
      </c>
      <c r="C336" s="450" t="s">
        <v>1413</v>
      </c>
      <c r="D336" s="450" t="s">
        <v>1358</v>
      </c>
      <c r="E336" s="450" t="s">
        <v>1350</v>
      </c>
      <c r="F336" s="450" t="s">
        <v>2348</v>
      </c>
      <c r="G336" s="450"/>
      <c r="H336" s="450"/>
      <c r="I336" s="450"/>
      <c r="J336" s="450"/>
      <c r="K336" s="647" t="s">
        <v>2349</v>
      </c>
      <c r="L336" s="641"/>
      <c r="M336" s="641"/>
      <c r="N336" s="641"/>
      <c r="O336" s="641">
        <f t="shared" si="113"/>
        <v>0</v>
      </c>
      <c r="P336" s="641"/>
      <c r="Q336" s="641"/>
      <c r="R336" s="641"/>
      <c r="S336" s="641"/>
      <c r="T336" s="641"/>
      <c r="U336" s="641"/>
      <c r="V336" s="648" t="e">
        <f t="shared" si="117"/>
        <v>#DIV/0!</v>
      </c>
      <c r="W336" s="644"/>
      <c r="X336" s="584" t="e">
        <f t="shared" si="116"/>
        <v>#DIV/0!</v>
      </c>
      <c r="Y336" s="584" t="e">
        <f t="shared" si="116"/>
        <v>#DIV/0!</v>
      </c>
      <c r="Z336" s="584" t="e">
        <f t="shared" si="116"/>
        <v>#DIV/0!</v>
      </c>
      <c r="AA336" s="584" t="e">
        <f t="shared" si="115"/>
        <v>#DIV/0!</v>
      </c>
    </row>
    <row r="337" spans="1:27" ht="18.75" hidden="1" customHeight="1" thickTop="1" thickBot="1" x14ac:dyDescent="0.3">
      <c r="A337" s="451">
        <v>1</v>
      </c>
      <c r="B337" s="450" t="s">
        <v>1343</v>
      </c>
      <c r="C337" s="450" t="s">
        <v>1413</v>
      </c>
      <c r="D337" s="450" t="s">
        <v>1358</v>
      </c>
      <c r="E337" s="450" t="s">
        <v>1350</v>
      </c>
      <c r="F337" s="450" t="s">
        <v>2350</v>
      </c>
      <c r="G337" s="450"/>
      <c r="H337" s="450"/>
      <c r="I337" s="450"/>
      <c r="J337" s="450"/>
      <c r="K337" s="647" t="s">
        <v>2351</v>
      </c>
      <c r="L337" s="641"/>
      <c r="M337" s="641"/>
      <c r="N337" s="641"/>
      <c r="O337" s="641">
        <f t="shared" si="113"/>
        <v>0</v>
      </c>
      <c r="P337" s="641"/>
      <c r="Q337" s="641"/>
      <c r="R337" s="641"/>
      <c r="S337" s="641"/>
      <c r="T337" s="641"/>
      <c r="U337" s="641"/>
      <c r="V337" s="648" t="e">
        <f t="shared" si="117"/>
        <v>#DIV/0!</v>
      </c>
      <c r="W337" s="644"/>
      <c r="X337" s="584" t="e">
        <f t="shared" si="116"/>
        <v>#DIV/0!</v>
      </c>
      <c r="Y337" s="584" t="e">
        <f t="shared" si="116"/>
        <v>#DIV/0!</v>
      </c>
      <c r="Z337" s="584" t="e">
        <f t="shared" si="116"/>
        <v>#DIV/0!</v>
      </c>
      <c r="AA337" s="584" t="e">
        <f t="shared" si="115"/>
        <v>#DIV/0!</v>
      </c>
    </row>
    <row r="338" spans="1:27" ht="18" hidden="1" customHeight="1" thickTop="1" thickBot="1" x14ac:dyDescent="0.3">
      <c r="A338" s="451">
        <v>1</v>
      </c>
      <c r="B338" s="450" t="s">
        <v>1343</v>
      </c>
      <c r="C338" s="450" t="s">
        <v>1413</v>
      </c>
      <c r="D338" s="450" t="s">
        <v>1358</v>
      </c>
      <c r="E338" s="450" t="s">
        <v>1350</v>
      </c>
      <c r="F338" s="450" t="s">
        <v>2156</v>
      </c>
      <c r="G338" s="450"/>
      <c r="H338" s="450"/>
      <c r="I338" s="450"/>
      <c r="J338" s="450"/>
      <c r="K338" s="647" t="s">
        <v>2352</v>
      </c>
      <c r="L338" s="641"/>
      <c r="M338" s="641"/>
      <c r="N338" s="641"/>
      <c r="O338" s="641">
        <f t="shared" si="113"/>
        <v>0</v>
      </c>
      <c r="P338" s="641"/>
      <c r="Q338" s="641"/>
      <c r="R338" s="641"/>
      <c r="S338" s="641"/>
      <c r="T338" s="641"/>
      <c r="U338" s="641"/>
      <c r="V338" s="648" t="e">
        <f t="shared" si="117"/>
        <v>#DIV/0!</v>
      </c>
      <c r="W338" s="644"/>
      <c r="X338" s="584" t="e">
        <f t="shared" si="116"/>
        <v>#DIV/0!</v>
      </c>
      <c r="Y338" s="584" t="e">
        <f t="shared" si="116"/>
        <v>#DIV/0!</v>
      </c>
      <c r="Z338" s="584" t="e">
        <f t="shared" si="116"/>
        <v>#DIV/0!</v>
      </c>
      <c r="AA338" s="584" t="e">
        <f t="shared" si="115"/>
        <v>#DIV/0!</v>
      </c>
    </row>
    <row r="339" spans="1:27" ht="21.75" hidden="1" customHeight="1" thickTop="1" thickBot="1" x14ac:dyDescent="0.3">
      <c r="A339" s="451">
        <v>1</v>
      </c>
      <c r="B339" s="450" t="s">
        <v>1343</v>
      </c>
      <c r="C339" s="450" t="s">
        <v>1413</v>
      </c>
      <c r="D339" s="450" t="s">
        <v>1358</v>
      </c>
      <c r="E339" s="450" t="s">
        <v>1350</v>
      </c>
      <c r="F339" s="450" t="s">
        <v>2353</v>
      </c>
      <c r="G339" s="450"/>
      <c r="H339" s="450"/>
      <c r="I339" s="450"/>
      <c r="J339" s="450"/>
      <c r="K339" s="647" t="s">
        <v>2354</v>
      </c>
      <c r="L339" s="641"/>
      <c r="M339" s="641"/>
      <c r="N339" s="641"/>
      <c r="O339" s="641">
        <f t="shared" si="113"/>
        <v>0</v>
      </c>
      <c r="P339" s="641"/>
      <c r="Q339" s="641"/>
      <c r="R339" s="641"/>
      <c r="S339" s="641"/>
      <c r="T339" s="641"/>
      <c r="U339" s="641"/>
      <c r="V339" s="648" t="e">
        <f t="shared" si="117"/>
        <v>#DIV/0!</v>
      </c>
      <c r="W339" s="644"/>
      <c r="X339" s="584" t="e">
        <f t="shared" si="116"/>
        <v>#DIV/0!</v>
      </c>
      <c r="Y339" s="584" t="e">
        <f t="shared" si="116"/>
        <v>#DIV/0!</v>
      </c>
      <c r="Z339" s="584" t="e">
        <f t="shared" si="116"/>
        <v>#DIV/0!</v>
      </c>
      <c r="AA339" s="584" t="e">
        <f t="shared" si="115"/>
        <v>#DIV/0!</v>
      </c>
    </row>
    <row r="340" spans="1:27" ht="22.5" hidden="1" customHeight="1" thickTop="1" thickBot="1" x14ac:dyDescent="0.3">
      <c r="A340" s="451">
        <v>1</v>
      </c>
      <c r="B340" s="450" t="s">
        <v>1343</v>
      </c>
      <c r="C340" s="450" t="s">
        <v>1413</v>
      </c>
      <c r="D340" s="450" t="s">
        <v>1358</v>
      </c>
      <c r="E340" s="450" t="s">
        <v>1350</v>
      </c>
      <c r="F340" s="450" t="s">
        <v>2355</v>
      </c>
      <c r="G340" s="450"/>
      <c r="H340" s="450"/>
      <c r="I340" s="450"/>
      <c r="J340" s="450"/>
      <c r="K340" s="647" t="s">
        <v>2356</v>
      </c>
      <c r="L340" s="641"/>
      <c r="M340" s="641"/>
      <c r="N340" s="641"/>
      <c r="O340" s="641">
        <f t="shared" si="113"/>
        <v>0</v>
      </c>
      <c r="P340" s="641"/>
      <c r="Q340" s="641"/>
      <c r="R340" s="641"/>
      <c r="S340" s="641"/>
      <c r="T340" s="641"/>
      <c r="U340" s="641"/>
      <c r="V340" s="648" t="e">
        <f t="shared" si="117"/>
        <v>#DIV/0!</v>
      </c>
      <c r="W340" s="644"/>
      <c r="X340" s="584" t="e">
        <f t="shared" si="116"/>
        <v>#DIV/0!</v>
      </c>
      <c r="Y340" s="584" t="e">
        <f t="shared" si="116"/>
        <v>#DIV/0!</v>
      </c>
      <c r="Z340" s="584" t="e">
        <f t="shared" si="116"/>
        <v>#DIV/0!</v>
      </c>
      <c r="AA340" s="584" t="e">
        <f t="shared" si="115"/>
        <v>#DIV/0!</v>
      </c>
    </row>
    <row r="341" spans="1:27" ht="17.25" hidden="1" customHeight="1" thickTop="1" thickBot="1" x14ac:dyDescent="0.3">
      <c r="A341" s="451">
        <v>1</v>
      </c>
      <c r="B341" s="450" t="s">
        <v>1343</v>
      </c>
      <c r="C341" s="450" t="s">
        <v>1413</v>
      </c>
      <c r="D341" s="450" t="s">
        <v>1358</v>
      </c>
      <c r="E341" s="450" t="s">
        <v>1350</v>
      </c>
      <c r="F341" s="450" t="s">
        <v>2357</v>
      </c>
      <c r="G341" s="450"/>
      <c r="H341" s="450"/>
      <c r="I341" s="450"/>
      <c r="J341" s="450"/>
      <c r="K341" s="647" t="s">
        <v>2358</v>
      </c>
      <c r="L341" s="641"/>
      <c r="M341" s="641"/>
      <c r="N341" s="641"/>
      <c r="O341" s="641">
        <f t="shared" si="113"/>
        <v>0</v>
      </c>
      <c r="P341" s="641"/>
      <c r="Q341" s="641"/>
      <c r="R341" s="641"/>
      <c r="S341" s="641"/>
      <c r="T341" s="641"/>
      <c r="U341" s="641"/>
      <c r="V341" s="648" t="e">
        <f t="shared" si="117"/>
        <v>#DIV/0!</v>
      </c>
      <c r="W341" s="644"/>
      <c r="X341" s="584" t="e">
        <f t="shared" si="116"/>
        <v>#DIV/0!</v>
      </c>
      <c r="Y341" s="584" t="e">
        <f t="shared" si="116"/>
        <v>#DIV/0!</v>
      </c>
      <c r="Z341" s="584" t="e">
        <f t="shared" si="116"/>
        <v>#DIV/0!</v>
      </c>
      <c r="AA341" s="584" t="e">
        <f t="shared" si="115"/>
        <v>#DIV/0!</v>
      </c>
    </row>
    <row r="342" spans="1:27" ht="18" hidden="1" customHeight="1" thickTop="1" thickBot="1" x14ac:dyDescent="0.3">
      <c r="A342" s="451">
        <v>1</v>
      </c>
      <c r="B342" s="450" t="s">
        <v>1343</v>
      </c>
      <c r="C342" s="450" t="s">
        <v>1413</v>
      </c>
      <c r="D342" s="450" t="s">
        <v>1358</v>
      </c>
      <c r="E342" s="450" t="s">
        <v>1350</v>
      </c>
      <c r="F342" s="450" t="s">
        <v>2359</v>
      </c>
      <c r="G342" s="450"/>
      <c r="H342" s="450"/>
      <c r="I342" s="450"/>
      <c r="J342" s="450"/>
      <c r="K342" s="647" t="s">
        <v>2360</v>
      </c>
      <c r="L342" s="641"/>
      <c r="M342" s="641"/>
      <c r="N342" s="641"/>
      <c r="O342" s="641">
        <f t="shared" si="113"/>
        <v>0</v>
      </c>
      <c r="P342" s="641"/>
      <c r="Q342" s="641"/>
      <c r="R342" s="641"/>
      <c r="S342" s="641"/>
      <c r="T342" s="641"/>
      <c r="U342" s="641"/>
      <c r="V342" s="648" t="e">
        <f t="shared" si="117"/>
        <v>#DIV/0!</v>
      </c>
      <c r="W342" s="644"/>
      <c r="X342" s="584" t="e">
        <f t="shared" si="116"/>
        <v>#DIV/0!</v>
      </c>
      <c r="Y342" s="584" t="e">
        <f t="shared" si="116"/>
        <v>#DIV/0!</v>
      </c>
      <c r="Z342" s="584" t="e">
        <f t="shared" si="116"/>
        <v>#DIV/0!</v>
      </c>
      <c r="AA342" s="584" t="e">
        <f t="shared" si="115"/>
        <v>#DIV/0!</v>
      </c>
    </row>
    <row r="343" spans="1:27" ht="21" hidden="1" customHeight="1" thickTop="1" thickBot="1" x14ac:dyDescent="0.3">
      <c r="A343" s="451">
        <v>1</v>
      </c>
      <c r="B343" s="450" t="s">
        <v>1343</v>
      </c>
      <c r="C343" s="450" t="s">
        <v>1413</v>
      </c>
      <c r="D343" s="450" t="s">
        <v>1358</v>
      </c>
      <c r="E343" s="450" t="s">
        <v>1350</v>
      </c>
      <c r="F343" s="450" t="s">
        <v>2361</v>
      </c>
      <c r="G343" s="450"/>
      <c r="H343" s="450"/>
      <c r="I343" s="450"/>
      <c r="J343" s="450"/>
      <c r="K343" s="647" t="s">
        <v>2362</v>
      </c>
      <c r="L343" s="641"/>
      <c r="M343" s="641"/>
      <c r="N343" s="641"/>
      <c r="O343" s="641">
        <f t="shared" si="113"/>
        <v>0</v>
      </c>
      <c r="P343" s="641"/>
      <c r="Q343" s="641"/>
      <c r="R343" s="641"/>
      <c r="S343" s="641"/>
      <c r="T343" s="641"/>
      <c r="U343" s="641"/>
      <c r="V343" s="648" t="e">
        <f t="shared" si="117"/>
        <v>#DIV/0!</v>
      </c>
      <c r="W343" s="644"/>
      <c r="X343" s="584" t="e">
        <f t="shared" si="116"/>
        <v>#DIV/0!</v>
      </c>
      <c r="Y343" s="584" t="e">
        <f t="shared" si="116"/>
        <v>#DIV/0!</v>
      </c>
      <c r="Z343" s="584" t="e">
        <f t="shared" si="116"/>
        <v>#DIV/0!</v>
      </c>
      <c r="AA343" s="584" t="e">
        <f t="shared" si="115"/>
        <v>#DIV/0!</v>
      </c>
    </row>
    <row r="344" spans="1:27" ht="18" hidden="1" customHeight="1" thickTop="1" thickBot="1" x14ac:dyDescent="0.3">
      <c r="A344" s="451">
        <v>1</v>
      </c>
      <c r="B344" s="450" t="s">
        <v>1343</v>
      </c>
      <c r="C344" s="450" t="s">
        <v>1413</v>
      </c>
      <c r="D344" s="450" t="s">
        <v>1358</v>
      </c>
      <c r="E344" s="450" t="s">
        <v>1350</v>
      </c>
      <c r="F344" s="450" t="s">
        <v>2363</v>
      </c>
      <c r="G344" s="450"/>
      <c r="H344" s="450"/>
      <c r="I344" s="450"/>
      <c r="J344" s="450"/>
      <c r="K344" s="647" t="s">
        <v>2364</v>
      </c>
      <c r="L344" s="641"/>
      <c r="M344" s="641"/>
      <c r="N344" s="641"/>
      <c r="O344" s="641">
        <f t="shared" si="113"/>
        <v>0</v>
      </c>
      <c r="P344" s="641"/>
      <c r="Q344" s="641"/>
      <c r="R344" s="641"/>
      <c r="S344" s="641"/>
      <c r="T344" s="641"/>
      <c r="U344" s="641"/>
      <c r="V344" s="648" t="e">
        <f t="shared" si="117"/>
        <v>#DIV/0!</v>
      </c>
      <c r="W344" s="644"/>
      <c r="X344" s="584" t="e">
        <f t="shared" si="116"/>
        <v>#DIV/0!</v>
      </c>
      <c r="Y344" s="584" t="e">
        <f t="shared" si="116"/>
        <v>#DIV/0!</v>
      </c>
      <c r="Z344" s="584" t="e">
        <f t="shared" si="116"/>
        <v>#DIV/0!</v>
      </c>
      <c r="AA344" s="584" t="e">
        <f t="shared" si="115"/>
        <v>#DIV/0!</v>
      </c>
    </row>
    <row r="345" spans="1:27" ht="15" hidden="1" customHeight="1" thickTop="1" thickBot="1" x14ac:dyDescent="0.3">
      <c r="A345" s="451">
        <v>1</v>
      </c>
      <c r="B345" s="450" t="s">
        <v>1343</v>
      </c>
      <c r="C345" s="450" t="s">
        <v>1413</v>
      </c>
      <c r="D345" s="450" t="s">
        <v>1358</v>
      </c>
      <c r="E345" s="450" t="s">
        <v>1350</v>
      </c>
      <c r="F345" s="450" t="s">
        <v>2365</v>
      </c>
      <c r="G345" s="450"/>
      <c r="H345" s="450"/>
      <c r="I345" s="450"/>
      <c r="J345" s="450"/>
      <c r="K345" s="647" t="s">
        <v>2366</v>
      </c>
      <c r="L345" s="641"/>
      <c r="M345" s="641"/>
      <c r="N345" s="641"/>
      <c r="O345" s="641">
        <f t="shared" si="113"/>
        <v>0</v>
      </c>
      <c r="P345" s="641"/>
      <c r="Q345" s="641"/>
      <c r="R345" s="641"/>
      <c r="S345" s="641"/>
      <c r="T345" s="641"/>
      <c r="U345" s="641"/>
      <c r="V345" s="648" t="e">
        <f t="shared" si="117"/>
        <v>#DIV/0!</v>
      </c>
      <c r="W345" s="644"/>
      <c r="X345" s="584" t="e">
        <f t="shared" si="116"/>
        <v>#DIV/0!</v>
      </c>
      <c r="Y345" s="584" t="e">
        <f t="shared" si="116"/>
        <v>#DIV/0!</v>
      </c>
      <c r="Z345" s="584" t="e">
        <f t="shared" si="116"/>
        <v>#DIV/0!</v>
      </c>
      <c r="AA345" s="584" t="e">
        <f t="shared" si="115"/>
        <v>#DIV/0!</v>
      </c>
    </row>
    <row r="346" spans="1:27" ht="17.25" hidden="1" customHeight="1" thickTop="1" thickBot="1" x14ac:dyDescent="0.3">
      <c r="A346" s="451">
        <v>1</v>
      </c>
      <c r="B346" s="450" t="s">
        <v>1343</v>
      </c>
      <c r="C346" s="450" t="s">
        <v>1413</v>
      </c>
      <c r="D346" s="450" t="s">
        <v>1358</v>
      </c>
      <c r="E346" s="450" t="s">
        <v>1350</v>
      </c>
      <c r="F346" s="450" t="s">
        <v>2367</v>
      </c>
      <c r="G346" s="450"/>
      <c r="H346" s="450"/>
      <c r="I346" s="450"/>
      <c r="J346" s="450"/>
      <c r="K346" s="647" t="s">
        <v>2368</v>
      </c>
      <c r="L346" s="641"/>
      <c r="M346" s="641"/>
      <c r="N346" s="641"/>
      <c r="O346" s="641">
        <f t="shared" si="113"/>
        <v>0</v>
      </c>
      <c r="P346" s="641"/>
      <c r="Q346" s="641"/>
      <c r="R346" s="641"/>
      <c r="S346" s="641"/>
      <c r="T346" s="641"/>
      <c r="U346" s="641"/>
      <c r="V346" s="648" t="e">
        <f t="shared" si="117"/>
        <v>#DIV/0!</v>
      </c>
      <c r="W346" s="644"/>
      <c r="X346" s="584" t="e">
        <f t="shared" si="116"/>
        <v>#DIV/0!</v>
      </c>
      <c r="Y346" s="584" t="e">
        <f t="shared" si="116"/>
        <v>#DIV/0!</v>
      </c>
      <c r="Z346" s="584" t="e">
        <f t="shared" si="116"/>
        <v>#DIV/0!</v>
      </c>
      <c r="AA346" s="584" t="e">
        <f t="shared" si="115"/>
        <v>#DIV/0!</v>
      </c>
    </row>
    <row r="347" spans="1:27" s="625" customFormat="1" ht="18" hidden="1" customHeight="1" thickTop="1" thickBot="1" x14ac:dyDescent="0.3">
      <c r="A347" s="618">
        <v>1</v>
      </c>
      <c r="B347" s="619" t="s">
        <v>1343</v>
      </c>
      <c r="C347" s="619" t="s">
        <v>1413</v>
      </c>
      <c r="D347" s="619" t="s">
        <v>1358</v>
      </c>
      <c r="E347" s="619" t="s">
        <v>1354</v>
      </c>
      <c r="F347" s="619"/>
      <c r="G347" s="619"/>
      <c r="H347" s="619"/>
      <c r="I347" s="619"/>
      <c r="J347" s="619"/>
      <c r="K347" s="620" t="s">
        <v>2369</v>
      </c>
      <c r="L347" s="621"/>
      <c r="M347" s="621"/>
      <c r="N347" s="621"/>
      <c r="O347" s="621">
        <f t="shared" si="113"/>
        <v>0</v>
      </c>
      <c r="P347" s="621"/>
      <c r="Q347" s="621"/>
      <c r="R347" s="621"/>
      <c r="S347" s="621"/>
      <c r="T347" s="621"/>
      <c r="U347" s="621"/>
      <c r="V347" s="622" t="e">
        <f t="shared" si="117"/>
        <v>#DIV/0!</v>
      </c>
      <c r="W347" s="623"/>
      <c r="X347" s="625" t="e">
        <f t="shared" si="116"/>
        <v>#DIV/0!</v>
      </c>
      <c r="Y347" s="625" t="e">
        <f t="shared" si="116"/>
        <v>#DIV/0!</v>
      </c>
      <c r="Z347" s="625" t="e">
        <f t="shared" si="116"/>
        <v>#DIV/0!</v>
      </c>
      <c r="AA347" s="625" t="e">
        <f t="shared" si="115"/>
        <v>#DIV/0!</v>
      </c>
    </row>
    <row r="348" spans="1:27" s="625" customFormat="1" ht="19.5" hidden="1" customHeight="1" thickTop="1" thickBot="1" x14ac:dyDescent="0.3">
      <c r="A348" s="618">
        <v>1</v>
      </c>
      <c r="B348" s="619" t="s">
        <v>1343</v>
      </c>
      <c r="C348" s="619" t="s">
        <v>1413</v>
      </c>
      <c r="D348" s="619" t="s">
        <v>1358</v>
      </c>
      <c r="E348" s="619" t="s">
        <v>1355</v>
      </c>
      <c r="F348" s="619"/>
      <c r="G348" s="619"/>
      <c r="H348" s="619"/>
      <c r="I348" s="619"/>
      <c r="J348" s="619"/>
      <c r="K348" s="620" t="s">
        <v>2370</v>
      </c>
      <c r="L348" s="621"/>
      <c r="M348" s="621"/>
      <c r="N348" s="621"/>
      <c r="O348" s="621">
        <f t="shared" si="113"/>
        <v>0</v>
      </c>
      <c r="P348" s="621"/>
      <c r="Q348" s="621"/>
      <c r="R348" s="621"/>
      <c r="S348" s="621"/>
      <c r="T348" s="621"/>
      <c r="U348" s="621"/>
      <c r="V348" s="622" t="e">
        <f t="shared" si="117"/>
        <v>#DIV/0!</v>
      </c>
      <c r="W348" s="623"/>
      <c r="X348" s="625" t="e">
        <f t="shared" si="116"/>
        <v>#DIV/0!</v>
      </c>
      <c r="Y348" s="625" t="e">
        <f t="shared" si="116"/>
        <v>#DIV/0!</v>
      </c>
      <c r="Z348" s="625" t="e">
        <f t="shared" si="116"/>
        <v>#DIV/0!</v>
      </c>
      <c r="AA348" s="625" t="e">
        <f t="shared" si="115"/>
        <v>#DIV/0!</v>
      </c>
    </row>
    <row r="349" spans="1:27" s="625" customFormat="1" ht="21" hidden="1" customHeight="1" thickTop="1" thickBot="1" x14ac:dyDescent="0.3">
      <c r="A349" s="618">
        <v>1</v>
      </c>
      <c r="B349" s="619" t="s">
        <v>1343</v>
      </c>
      <c r="C349" s="619" t="s">
        <v>1413</v>
      </c>
      <c r="D349" s="619" t="s">
        <v>1358</v>
      </c>
      <c r="E349" s="619" t="s">
        <v>1358</v>
      </c>
      <c r="F349" s="619"/>
      <c r="G349" s="619"/>
      <c r="H349" s="619"/>
      <c r="I349" s="619"/>
      <c r="J349" s="619"/>
      <c r="K349" s="620" t="s">
        <v>2371</v>
      </c>
      <c r="L349" s="621"/>
      <c r="M349" s="621"/>
      <c r="N349" s="621"/>
      <c r="O349" s="621">
        <f t="shared" si="113"/>
        <v>0</v>
      </c>
      <c r="P349" s="621"/>
      <c r="Q349" s="621"/>
      <c r="R349" s="621"/>
      <c r="S349" s="621"/>
      <c r="T349" s="621"/>
      <c r="U349" s="621"/>
      <c r="V349" s="622" t="e">
        <f t="shared" si="117"/>
        <v>#DIV/0!</v>
      </c>
      <c r="W349" s="623"/>
      <c r="X349" s="625" t="e">
        <f t="shared" si="116"/>
        <v>#DIV/0!</v>
      </c>
      <c r="Y349" s="625" t="e">
        <f t="shared" si="116"/>
        <v>#DIV/0!</v>
      </c>
      <c r="Z349" s="625" t="e">
        <f t="shared" si="116"/>
        <v>#DIV/0!</v>
      </c>
      <c r="AA349" s="625" t="e">
        <f t="shared" si="115"/>
        <v>#DIV/0!</v>
      </c>
    </row>
    <row r="350" spans="1:27" s="625" customFormat="1" ht="19.5" hidden="1" customHeight="1" thickTop="1" thickBot="1" x14ac:dyDescent="0.3">
      <c r="A350" s="618">
        <v>1</v>
      </c>
      <c r="B350" s="619" t="s">
        <v>1343</v>
      </c>
      <c r="C350" s="619" t="s">
        <v>1413</v>
      </c>
      <c r="D350" s="619" t="s">
        <v>1358</v>
      </c>
      <c r="E350" s="619" t="s">
        <v>1359</v>
      </c>
      <c r="F350" s="619"/>
      <c r="G350" s="619"/>
      <c r="H350" s="619"/>
      <c r="I350" s="619"/>
      <c r="J350" s="619"/>
      <c r="K350" s="620" t="s">
        <v>2372</v>
      </c>
      <c r="L350" s="621"/>
      <c r="M350" s="621"/>
      <c r="N350" s="621"/>
      <c r="O350" s="621">
        <f t="shared" si="113"/>
        <v>0</v>
      </c>
      <c r="P350" s="621"/>
      <c r="Q350" s="621"/>
      <c r="R350" s="621"/>
      <c r="S350" s="621"/>
      <c r="T350" s="621"/>
      <c r="U350" s="621"/>
      <c r="V350" s="622" t="e">
        <f t="shared" si="117"/>
        <v>#DIV/0!</v>
      </c>
      <c r="W350" s="623"/>
      <c r="X350" s="625" t="e">
        <f t="shared" si="116"/>
        <v>#DIV/0!</v>
      </c>
      <c r="Y350" s="625" t="e">
        <f t="shared" si="116"/>
        <v>#DIV/0!</v>
      </c>
      <c r="Z350" s="625" t="e">
        <f t="shared" si="116"/>
        <v>#DIV/0!</v>
      </c>
      <c r="AA350" s="625" t="e">
        <f t="shared" si="115"/>
        <v>#DIV/0!</v>
      </c>
    </row>
    <row r="351" spans="1:27" s="617" customFormat="1" ht="25.5" hidden="1" customHeight="1" thickTop="1" thickBot="1" x14ac:dyDescent="0.3">
      <c r="A351" s="611">
        <v>1</v>
      </c>
      <c r="B351" s="448" t="s">
        <v>1343</v>
      </c>
      <c r="C351" s="448" t="s">
        <v>1413</v>
      </c>
      <c r="D351" s="448" t="s">
        <v>1359</v>
      </c>
      <c r="E351" s="448"/>
      <c r="F351" s="448"/>
      <c r="G351" s="448"/>
      <c r="H351" s="448"/>
      <c r="I351" s="448"/>
      <c r="J351" s="448"/>
      <c r="K351" s="612" t="s">
        <v>1394</v>
      </c>
      <c r="L351" s="613">
        <f>+L352+L366+L368</f>
        <v>0</v>
      </c>
      <c r="M351" s="613">
        <f t="shared" ref="M351:U351" si="118">+M352+M366+M368</f>
        <v>0</v>
      </c>
      <c r="N351" s="613">
        <f t="shared" si="118"/>
        <v>0</v>
      </c>
      <c r="O351" s="613">
        <f t="shared" si="118"/>
        <v>0</v>
      </c>
      <c r="P351" s="613">
        <f t="shared" si="118"/>
        <v>0</v>
      </c>
      <c r="Q351" s="613">
        <f t="shared" si="118"/>
        <v>0</v>
      </c>
      <c r="R351" s="613">
        <f t="shared" si="118"/>
        <v>0</v>
      </c>
      <c r="S351" s="613">
        <f t="shared" si="118"/>
        <v>0</v>
      </c>
      <c r="T351" s="613">
        <f t="shared" si="118"/>
        <v>0</v>
      </c>
      <c r="U351" s="613">
        <f t="shared" si="118"/>
        <v>0</v>
      </c>
      <c r="V351" s="614" t="e">
        <f t="shared" si="117"/>
        <v>#DIV/0!</v>
      </c>
      <c r="W351" s="615"/>
      <c r="X351" s="617" t="e">
        <f t="shared" si="116"/>
        <v>#DIV/0!</v>
      </c>
      <c r="Y351" s="617" t="e">
        <f t="shared" si="116"/>
        <v>#DIV/0!</v>
      </c>
      <c r="Z351" s="617" t="e">
        <f t="shared" si="116"/>
        <v>#DIV/0!</v>
      </c>
      <c r="AA351" s="617" t="e">
        <f t="shared" si="115"/>
        <v>#DIV/0!</v>
      </c>
    </row>
    <row r="352" spans="1:27" s="625" customFormat="1" ht="18" hidden="1" customHeight="1" thickTop="1" thickBot="1" x14ac:dyDescent="0.3">
      <c r="A352" s="618">
        <v>1</v>
      </c>
      <c r="B352" s="619" t="s">
        <v>1343</v>
      </c>
      <c r="C352" s="619" t="s">
        <v>1413</v>
      </c>
      <c r="D352" s="619" t="s">
        <v>1359</v>
      </c>
      <c r="E352" s="619" t="s">
        <v>1345</v>
      </c>
      <c r="F352" s="619"/>
      <c r="G352" s="619"/>
      <c r="H352" s="619"/>
      <c r="I352" s="619"/>
      <c r="J352" s="619"/>
      <c r="K352" s="620" t="s">
        <v>1395</v>
      </c>
      <c r="L352" s="621">
        <f>+L353+L354+L355+L358+L362</f>
        <v>0</v>
      </c>
      <c r="M352" s="621">
        <f t="shared" ref="M352:U352" si="119">+M353+M354+M355+M358+M362</f>
        <v>0</v>
      </c>
      <c r="N352" s="621">
        <f t="shared" si="119"/>
        <v>0</v>
      </c>
      <c r="O352" s="621">
        <f t="shared" si="119"/>
        <v>0</v>
      </c>
      <c r="P352" s="621">
        <f t="shared" si="119"/>
        <v>0</v>
      </c>
      <c r="Q352" s="621">
        <f t="shared" si="119"/>
        <v>0</v>
      </c>
      <c r="R352" s="621">
        <f t="shared" si="119"/>
        <v>0</v>
      </c>
      <c r="S352" s="621">
        <f t="shared" si="119"/>
        <v>0</v>
      </c>
      <c r="T352" s="621">
        <f t="shared" si="119"/>
        <v>0</v>
      </c>
      <c r="U352" s="621">
        <f t="shared" si="119"/>
        <v>0</v>
      </c>
      <c r="V352" s="622" t="e">
        <f t="shared" si="117"/>
        <v>#DIV/0!</v>
      </c>
      <c r="W352" s="623"/>
      <c r="X352" s="625" t="e">
        <f t="shared" si="116"/>
        <v>#DIV/0!</v>
      </c>
      <c r="Y352" s="625" t="e">
        <f t="shared" si="116"/>
        <v>#DIV/0!</v>
      </c>
      <c r="Z352" s="625" t="e">
        <f t="shared" si="116"/>
        <v>#DIV/0!</v>
      </c>
      <c r="AA352" s="625" t="e">
        <f t="shared" si="115"/>
        <v>#DIV/0!</v>
      </c>
    </row>
    <row r="353" spans="1:27" s="587" customFormat="1" ht="21.75" hidden="1" customHeight="1" thickTop="1" thickBot="1" x14ac:dyDescent="0.3">
      <c r="A353" s="633">
        <v>1</v>
      </c>
      <c r="B353" s="524" t="s">
        <v>1343</v>
      </c>
      <c r="C353" s="524" t="s">
        <v>1413</v>
      </c>
      <c r="D353" s="524" t="s">
        <v>1359</v>
      </c>
      <c r="E353" s="524" t="s">
        <v>1345</v>
      </c>
      <c r="F353" s="524" t="s">
        <v>2138</v>
      </c>
      <c r="G353" s="524"/>
      <c r="H353" s="524"/>
      <c r="I353" s="524"/>
      <c r="J353" s="524"/>
      <c r="K353" s="634" t="s">
        <v>1396</v>
      </c>
      <c r="L353" s="635"/>
      <c r="M353" s="635"/>
      <c r="N353" s="635"/>
      <c r="O353" s="635">
        <f>+L353+M353-N353</f>
        <v>0</v>
      </c>
      <c r="P353" s="635"/>
      <c r="Q353" s="635"/>
      <c r="R353" s="635"/>
      <c r="S353" s="635"/>
      <c r="T353" s="635"/>
      <c r="U353" s="635"/>
      <c r="V353" s="636" t="e">
        <f t="shared" si="117"/>
        <v>#DIV/0!</v>
      </c>
      <c r="W353" s="637"/>
      <c r="X353" s="587" t="e">
        <f t="shared" si="116"/>
        <v>#DIV/0!</v>
      </c>
      <c r="Y353" s="587" t="e">
        <f t="shared" si="116"/>
        <v>#DIV/0!</v>
      </c>
      <c r="Z353" s="587" t="e">
        <f t="shared" si="116"/>
        <v>#DIV/0!</v>
      </c>
      <c r="AA353" s="587" t="e">
        <f t="shared" si="115"/>
        <v>#DIV/0!</v>
      </c>
    </row>
    <row r="354" spans="1:27" s="587" customFormat="1" ht="29.25" hidden="1" customHeight="1" thickTop="1" thickBot="1" x14ac:dyDescent="0.3">
      <c r="A354" s="633">
        <v>1</v>
      </c>
      <c r="B354" s="524" t="s">
        <v>1343</v>
      </c>
      <c r="C354" s="524" t="s">
        <v>1413</v>
      </c>
      <c r="D354" s="524" t="s">
        <v>1359</v>
      </c>
      <c r="E354" s="524" t="s">
        <v>1345</v>
      </c>
      <c r="F354" s="524" t="s">
        <v>2160</v>
      </c>
      <c r="G354" s="524"/>
      <c r="H354" s="524"/>
      <c r="I354" s="524"/>
      <c r="J354" s="524"/>
      <c r="K354" s="634" t="s">
        <v>1397</v>
      </c>
      <c r="L354" s="635"/>
      <c r="M354" s="635"/>
      <c r="N354" s="635"/>
      <c r="O354" s="635">
        <f>+L354+M354-N354</f>
        <v>0</v>
      </c>
      <c r="P354" s="635"/>
      <c r="Q354" s="635"/>
      <c r="R354" s="635"/>
      <c r="S354" s="635"/>
      <c r="T354" s="635"/>
      <c r="U354" s="635"/>
      <c r="V354" s="636" t="e">
        <f t="shared" si="117"/>
        <v>#DIV/0!</v>
      </c>
      <c r="W354" s="637"/>
      <c r="X354" s="587" t="e">
        <f t="shared" si="116"/>
        <v>#DIV/0!</v>
      </c>
      <c r="Y354" s="587" t="e">
        <f t="shared" si="116"/>
        <v>#DIV/0!</v>
      </c>
      <c r="Z354" s="587" t="e">
        <f t="shared" si="116"/>
        <v>#DIV/0!</v>
      </c>
      <c r="AA354" s="587" t="e">
        <f t="shared" si="115"/>
        <v>#DIV/0!</v>
      </c>
    </row>
    <row r="355" spans="1:27" s="587" customFormat="1" ht="26.25" hidden="1" customHeight="1" thickTop="1" thickBot="1" x14ac:dyDescent="0.3">
      <c r="A355" s="633">
        <v>1</v>
      </c>
      <c r="B355" s="524" t="s">
        <v>1343</v>
      </c>
      <c r="C355" s="524" t="s">
        <v>1413</v>
      </c>
      <c r="D355" s="524" t="s">
        <v>1359</v>
      </c>
      <c r="E355" s="524" t="s">
        <v>1345</v>
      </c>
      <c r="F355" s="524" t="s">
        <v>2214</v>
      </c>
      <c r="G355" s="524"/>
      <c r="H355" s="524"/>
      <c r="I355" s="524"/>
      <c r="J355" s="524"/>
      <c r="K355" s="634" t="s">
        <v>1879</v>
      </c>
      <c r="L355" s="635">
        <f>+L356+L357</f>
        <v>0</v>
      </c>
      <c r="M355" s="635">
        <f t="shared" ref="M355:U355" si="120">+M356+M357</f>
        <v>0</v>
      </c>
      <c r="N355" s="635">
        <f t="shared" si="120"/>
        <v>0</v>
      </c>
      <c r="O355" s="635">
        <f t="shared" si="120"/>
        <v>0</v>
      </c>
      <c r="P355" s="635">
        <f t="shared" si="120"/>
        <v>0</v>
      </c>
      <c r="Q355" s="635">
        <f t="shared" si="120"/>
        <v>0</v>
      </c>
      <c r="R355" s="635">
        <f t="shared" si="120"/>
        <v>0</v>
      </c>
      <c r="S355" s="635">
        <f t="shared" si="120"/>
        <v>0</v>
      </c>
      <c r="T355" s="635">
        <f t="shared" si="120"/>
        <v>0</v>
      </c>
      <c r="U355" s="635">
        <f t="shared" si="120"/>
        <v>0</v>
      </c>
      <c r="V355" s="636" t="e">
        <f t="shared" si="117"/>
        <v>#DIV/0!</v>
      </c>
      <c r="W355" s="637"/>
      <c r="X355" s="587" t="e">
        <f t="shared" si="116"/>
        <v>#DIV/0!</v>
      </c>
      <c r="Y355" s="587" t="e">
        <f t="shared" si="116"/>
        <v>#DIV/0!</v>
      </c>
      <c r="Z355" s="587" t="e">
        <f t="shared" si="116"/>
        <v>#DIV/0!</v>
      </c>
      <c r="AA355" s="587" t="e">
        <f t="shared" si="115"/>
        <v>#DIV/0!</v>
      </c>
    </row>
    <row r="356" spans="1:27" ht="22.5" hidden="1" customHeight="1" thickTop="1" thickBot="1" x14ac:dyDescent="0.3">
      <c r="A356" s="451">
        <v>1</v>
      </c>
      <c r="B356" s="450" t="s">
        <v>1343</v>
      </c>
      <c r="C356" s="450" t="s">
        <v>1413</v>
      </c>
      <c r="D356" s="450" t="s">
        <v>1359</v>
      </c>
      <c r="E356" s="450" t="s">
        <v>1345</v>
      </c>
      <c r="F356" s="450" t="s">
        <v>2214</v>
      </c>
      <c r="G356" s="450" t="s">
        <v>1345</v>
      </c>
      <c r="H356" s="450"/>
      <c r="I356" s="450"/>
      <c r="J356" s="450"/>
      <c r="K356" s="647" t="s">
        <v>2373</v>
      </c>
      <c r="L356" s="641"/>
      <c r="M356" s="641"/>
      <c r="N356" s="641"/>
      <c r="O356" s="641">
        <f>+L356+M356-N356</f>
        <v>0</v>
      </c>
      <c r="P356" s="641"/>
      <c r="Q356" s="641"/>
      <c r="R356" s="641"/>
      <c r="S356" s="641"/>
      <c r="T356" s="641"/>
      <c r="U356" s="641"/>
      <c r="V356" s="648" t="e">
        <f t="shared" si="117"/>
        <v>#DIV/0!</v>
      </c>
      <c r="W356" s="644"/>
      <c r="X356" s="584" t="e">
        <f t="shared" si="116"/>
        <v>#DIV/0!</v>
      </c>
      <c r="Y356" s="584" t="e">
        <f t="shared" si="116"/>
        <v>#DIV/0!</v>
      </c>
      <c r="Z356" s="584" t="e">
        <f t="shared" si="116"/>
        <v>#DIV/0!</v>
      </c>
      <c r="AA356" s="584" t="e">
        <f t="shared" si="115"/>
        <v>#DIV/0!</v>
      </c>
    </row>
    <row r="357" spans="1:27" ht="19.5" hidden="1" customHeight="1" thickTop="1" thickBot="1" x14ac:dyDescent="0.3">
      <c r="A357" s="451">
        <v>1</v>
      </c>
      <c r="B357" s="450" t="s">
        <v>1343</v>
      </c>
      <c r="C357" s="450" t="s">
        <v>1413</v>
      </c>
      <c r="D357" s="450" t="s">
        <v>1359</v>
      </c>
      <c r="E357" s="450" t="s">
        <v>1345</v>
      </c>
      <c r="F357" s="450" t="s">
        <v>2214</v>
      </c>
      <c r="G357" s="450" t="s">
        <v>1350</v>
      </c>
      <c r="H357" s="450"/>
      <c r="I357" s="450"/>
      <c r="J357" s="450"/>
      <c r="K357" s="647" t="s">
        <v>1879</v>
      </c>
      <c r="L357" s="641"/>
      <c r="M357" s="641"/>
      <c r="N357" s="641"/>
      <c r="O357" s="641">
        <f>+L357+M357-N357</f>
        <v>0</v>
      </c>
      <c r="P357" s="641"/>
      <c r="Q357" s="641"/>
      <c r="R357" s="641"/>
      <c r="S357" s="641"/>
      <c r="T357" s="641"/>
      <c r="U357" s="641"/>
      <c r="V357" s="648" t="e">
        <f t="shared" si="117"/>
        <v>#DIV/0!</v>
      </c>
      <c r="W357" s="644"/>
      <c r="X357" s="584" t="e">
        <f t="shared" si="116"/>
        <v>#DIV/0!</v>
      </c>
      <c r="Y357" s="584" t="e">
        <f t="shared" si="116"/>
        <v>#DIV/0!</v>
      </c>
      <c r="Z357" s="584" t="e">
        <f t="shared" si="116"/>
        <v>#DIV/0!</v>
      </c>
      <c r="AA357" s="584" t="e">
        <f t="shared" si="115"/>
        <v>#DIV/0!</v>
      </c>
    </row>
    <row r="358" spans="1:27" s="587" customFormat="1" ht="12" hidden="1" customHeight="1" thickTop="1" thickBot="1" x14ac:dyDescent="0.3">
      <c r="A358" s="633">
        <v>1</v>
      </c>
      <c r="B358" s="524" t="s">
        <v>1343</v>
      </c>
      <c r="C358" s="524" t="s">
        <v>1413</v>
      </c>
      <c r="D358" s="524" t="s">
        <v>1359</v>
      </c>
      <c r="E358" s="524" t="s">
        <v>1345</v>
      </c>
      <c r="F358" s="524" t="s">
        <v>2267</v>
      </c>
      <c r="G358" s="524"/>
      <c r="H358" s="524"/>
      <c r="I358" s="524"/>
      <c r="J358" s="524"/>
      <c r="K358" s="634" t="s">
        <v>1880</v>
      </c>
      <c r="L358" s="635">
        <f>+L359+L360+L361</f>
        <v>0</v>
      </c>
      <c r="M358" s="635">
        <f t="shared" ref="M358:U358" si="121">+M359+M360+M361</f>
        <v>0</v>
      </c>
      <c r="N358" s="635">
        <f t="shared" si="121"/>
        <v>0</v>
      </c>
      <c r="O358" s="635">
        <f t="shared" si="121"/>
        <v>0</v>
      </c>
      <c r="P358" s="635">
        <f t="shared" si="121"/>
        <v>0</v>
      </c>
      <c r="Q358" s="635">
        <f t="shared" si="121"/>
        <v>0</v>
      </c>
      <c r="R358" s="635">
        <f t="shared" si="121"/>
        <v>0</v>
      </c>
      <c r="S358" s="635">
        <f t="shared" si="121"/>
        <v>0</v>
      </c>
      <c r="T358" s="635">
        <f t="shared" si="121"/>
        <v>0</v>
      </c>
      <c r="U358" s="635">
        <f t="shared" si="121"/>
        <v>0</v>
      </c>
      <c r="V358" s="636" t="e">
        <f t="shared" si="117"/>
        <v>#DIV/0!</v>
      </c>
      <c r="W358" s="637"/>
      <c r="X358" s="587" t="e">
        <f t="shared" si="116"/>
        <v>#DIV/0!</v>
      </c>
      <c r="Y358" s="587" t="e">
        <f t="shared" si="116"/>
        <v>#DIV/0!</v>
      </c>
      <c r="Z358" s="587" t="e">
        <f t="shared" si="116"/>
        <v>#DIV/0!</v>
      </c>
      <c r="AA358" s="587" t="e">
        <f t="shared" si="115"/>
        <v>#DIV/0!</v>
      </c>
    </row>
    <row r="359" spans="1:27" ht="18" hidden="1" customHeight="1" thickTop="1" thickBot="1" x14ac:dyDescent="0.3">
      <c r="A359" s="451">
        <v>1</v>
      </c>
      <c r="B359" s="450" t="s">
        <v>1343</v>
      </c>
      <c r="C359" s="450" t="s">
        <v>1413</v>
      </c>
      <c r="D359" s="450" t="s">
        <v>1359</v>
      </c>
      <c r="E359" s="450" t="s">
        <v>1345</v>
      </c>
      <c r="F359" s="450" t="s">
        <v>2267</v>
      </c>
      <c r="G359" s="450" t="s">
        <v>1345</v>
      </c>
      <c r="H359" s="450"/>
      <c r="I359" s="450"/>
      <c r="J359" s="450"/>
      <c r="K359" s="647" t="s">
        <v>2374</v>
      </c>
      <c r="L359" s="641"/>
      <c r="M359" s="641"/>
      <c r="N359" s="641"/>
      <c r="O359" s="641">
        <f>+L359+M359-N359</f>
        <v>0</v>
      </c>
      <c r="P359" s="641"/>
      <c r="Q359" s="641"/>
      <c r="R359" s="641"/>
      <c r="S359" s="641"/>
      <c r="T359" s="641"/>
      <c r="U359" s="641"/>
      <c r="V359" s="648" t="e">
        <f t="shared" si="117"/>
        <v>#DIV/0!</v>
      </c>
      <c r="W359" s="644"/>
      <c r="X359" s="584" t="e">
        <f t="shared" si="116"/>
        <v>#DIV/0!</v>
      </c>
      <c r="Y359" s="584" t="e">
        <f t="shared" si="116"/>
        <v>#DIV/0!</v>
      </c>
      <c r="Z359" s="584" t="e">
        <f t="shared" si="116"/>
        <v>#DIV/0!</v>
      </c>
      <c r="AA359" s="584" t="e">
        <f t="shared" si="115"/>
        <v>#DIV/0!</v>
      </c>
    </row>
    <row r="360" spans="1:27" ht="18" hidden="1" customHeight="1" thickTop="1" thickBot="1" x14ac:dyDescent="0.3">
      <c r="A360" s="451">
        <v>1</v>
      </c>
      <c r="B360" s="450" t="s">
        <v>1343</v>
      </c>
      <c r="C360" s="450" t="s">
        <v>1413</v>
      </c>
      <c r="D360" s="450" t="s">
        <v>1359</v>
      </c>
      <c r="E360" s="450" t="s">
        <v>1345</v>
      </c>
      <c r="F360" s="450" t="s">
        <v>2267</v>
      </c>
      <c r="G360" s="450" t="s">
        <v>1350</v>
      </c>
      <c r="H360" s="450"/>
      <c r="I360" s="450"/>
      <c r="J360" s="450"/>
      <c r="K360" s="647" t="s">
        <v>2375</v>
      </c>
      <c r="L360" s="641"/>
      <c r="M360" s="641"/>
      <c r="N360" s="641"/>
      <c r="O360" s="641">
        <f>+L360+M360-N360</f>
        <v>0</v>
      </c>
      <c r="P360" s="641"/>
      <c r="Q360" s="641"/>
      <c r="R360" s="641"/>
      <c r="S360" s="641"/>
      <c r="T360" s="641"/>
      <c r="U360" s="641"/>
      <c r="V360" s="648" t="e">
        <f t="shared" si="117"/>
        <v>#DIV/0!</v>
      </c>
      <c r="W360" s="644"/>
      <c r="X360" s="584" t="e">
        <f t="shared" si="116"/>
        <v>#DIV/0!</v>
      </c>
      <c r="Y360" s="584" t="e">
        <f t="shared" si="116"/>
        <v>#DIV/0!</v>
      </c>
      <c r="Z360" s="584" t="e">
        <f t="shared" si="116"/>
        <v>#DIV/0!</v>
      </c>
      <c r="AA360" s="584" t="e">
        <f t="shared" si="115"/>
        <v>#DIV/0!</v>
      </c>
    </row>
    <row r="361" spans="1:27" ht="25.5" hidden="1" customHeight="1" thickTop="1" thickBot="1" x14ac:dyDescent="0.3">
      <c r="A361" s="451">
        <v>1</v>
      </c>
      <c r="B361" s="450" t="s">
        <v>1343</v>
      </c>
      <c r="C361" s="450" t="s">
        <v>1413</v>
      </c>
      <c r="D361" s="450" t="s">
        <v>1359</v>
      </c>
      <c r="E361" s="450" t="s">
        <v>1345</v>
      </c>
      <c r="F361" s="450" t="s">
        <v>2267</v>
      </c>
      <c r="G361" s="450" t="s">
        <v>1354</v>
      </c>
      <c r="H361" s="450"/>
      <c r="I361" s="450"/>
      <c r="J361" s="450"/>
      <c r="K361" s="647" t="s">
        <v>2376</v>
      </c>
      <c r="L361" s="641"/>
      <c r="M361" s="641"/>
      <c r="N361" s="641"/>
      <c r="O361" s="641">
        <f>+L361+M361-N361</f>
        <v>0</v>
      </c>
      <c r="P361" s="641"/>
      <c r="Q361" s="641"/>
      <c r="R361" s="641"/>
      <c r="S361" s="641"/>
      <c r="T361" s="641"/>
      <c r="U361" s="641"/>
      <c r="V361" s="648" t="e">
        <f t="shared" si="117"/>
        <v>#DIV/0!</v>
      </c>
      <c r="W361" s="644"/>
      <c r="X361" s="584" t="e">
        <f t="shared" si="116"/>
        <v>#DIV/0!</v>
      </c>
      <c r="Y361" s="584" t="e">
        <f t="shared" si="116"/>
        <v>#DIV/0!</v>
      </c>
      <c r="Z361" s="584" t="e">
        <f t="shared" si="116"/>
        <v>#DIV/0!</v>
      </c>
      <c r="AA361" s="584" t="e">
        <f t="shared" si="115"/>
        <v>#DIV/0!</v>
      </c>
    </row>
    <row r="362" spans="1:27" s="587" customFormat="1" ht="12" hidden="1" customHeight="1" thickTop="1" thickBot="1" x14ac:dyDescent="0.3">
      <c r="A362" s="633">
        <v>1</v>
      </c>
      <c r="B362" s="524" t="s">
        <v>1343</v>
      </c>
      <c r="C362" s="524" t="s">
        <v>1413</v>
      </c>
      <c r="D362" s="524" t="s">
        <v>1359</v>
      </c>
      <c r="E362" s="524" t="s">
        <v>1345</v>
      </c>
      <c r="F362" s="524" t="s">
        <v>2377</v>
      </c>
      <c r="G362" s="524"/>
      <c r="H362" s="524"/>
      <c r="I362" s="524"/>
      <c r="J362" s="524"/>
      <c r="K362" s="634" t="s">
        <v>1881</v>
      </c>
      <c r="L362" s="635">
        <f>+L363+L364+L365</f>
        <v>0</v>
      </c>
      <c r="M362" s="635">
        <f t="shared" ref="M362:U362" si="122">+M363+M364+M365</f>
        <v>0</v>
      </c>
      <c r="N362" s="635">
        <f t="shared" si="122"/>
        <v>0</v>
      </c>
      <c r="O362" s="635">
        <f t="shared" si="122"/>
        <v>0</v>
      </c>
      <c r="P362" s="635">
        <f t="shared" si="122"/>
        <v>0</v>
      </c>
      <c r="Q362" s="635">
        <f t="shared" si="122"/>
        <v>0</v>
      </c>
      <c r="R362" s="635">
        <f t="shared" si="122"/>
        <v>0</v>
      </c>
      <c r="S362" s="635">
        <f t="shared" si="122"/>
        <v>0</v>
      </c>
      <c r="T362" s="635">
        <f t="shared" si="122"/>
        <v>0</v>
      </c>
      <c r="U362" s="635">
        <f t="shared" si="122"/>
        <v>0</v>
      </c>
      <c r="V362" s="636" t="e">
        <f t="shared" si="117"/>
        <v>#DIV/0!</v>
      </c>
      <c r="W362" s="637"/>
      <c r="X362" s="587" t="e">
        <f t="shared" si="116"/>
        <v>#DIV/0!</v>
      </c>
      <c r="Y362" s="587" t="e">
        <f t="shared" si="116"/>
        <v>#DIV/0!</v>
      </c>
      <c r="Z362" s="587" t="e">
        <f t="shared" si="116"/>
        <v>#DIV/0!</v>
      </c>
      <c r="AA362" s="587" t="e">
        <f t="shared" si="115"/>
        <v>#DIV/0!</v>
      </c>
    </row>
    <row r="363" spans="1:27" ht="18.75" hidden="1" customHeight="1" thickTop="1" thickBot="1" x14ac:dyDescent="0.3">
      <c r="A363" s="451">
        <v>1</v>
      </c>
      <c r="B363" s="450" t="s">
        <v>1343</v>
      </c>
      <c r="C363" s="450" t="s">
        <v>1413</v>
      </c>
      <c r="D363" s="450" t="s">
        <v>1359</v>
      </c>
      <c r="E363" s="450" t="s">
        <v>1345</v>
      </c>
      <c r="F363" s="450" t="s">
        <v>2377</v>
      </c>
      <c r="G363" s="450" t="s">
        <v>1345</v>
      </c>
      <c r="H363" s="450"/>
      <c r="I363" s="450"/>
      <c r="J363" s="450"/>
      <c r="K363" s="647" t="s">
        <v>2378</v>
      </c>
      <c r="L363" s="641"/>
      <c r="M363" s="641"/>
      <c r="N363" s="641"/>
      <c r="O363" s="641">
        <f>+L363+M363-N363</f>
        <v>0</v>
      </c>
      <c r="P363" s="641"/>
      <c r="Q363" s="641"/>
      <c r="R363" s="641"/>
      <c r="S363" s="641"/>
      <c r="T363" s="641"/>
      <c r="U363" s="641"/>
      <c r="V363" s="648" t="e">
        <f t="shared" si="117"/>
        <v>#DIV/0!</v>
      </c>
      <c r="W363" s="644"/>
      <c r="X363" s="584" t="e">
        <f t="shared" si="116"/>
        <v>#DIV/0!</v>
      </c>
      <c r="Y363" s="584" t="e">
        <f t="shared" si="116"/>
        <v>#DIV/0!</v>
      </c>
      <c r="Z363" s="584" t="e">
        <f t="shared" si="116"/>
        <v>#DIV/0!</v>
      </c>
      <c r="AA363" s="584" t="e">
        <f t="shared" si="115"/>
        <v>#DIV/0!</v>
      </c>
    </row>
    <row r="364" spans="1:27" ht="28.5" hidden="1" customHeight="1" thickTop="1" thickBot="1" x14ac:dyDescent="0.3">
      <c r="A364" s="451">
        <v>1</v>
      </c>
      <c r="B364" s="450" t="s">
        <v>1343</v>
      </c>
      <c r="C364" s="450" t="s">
        <v>1413</v>
      </c>
      <c r="D364" s="450" t="s">
        <v>1359</v>
      </c>
      <c r="E364" s="450" t="s">
        <v>1345</v>
      </c>
      <c r="F364" s="450" t="s">
        <v>2377</v>
      </c>
      <c r="G364" s="450" t="s">
        <v>1350</v>
      </c>
      <c r="H364" s="450"/>
      <c r="I364" s="450"/>
      <c r="J364" s="450"/>
      <c r="K364" s="647" t="s">
        <v>2379</v>
      </c>
      <c r="L364" s="641"/>
      <c r="M364" s="641"/>
      <c r="N364" s="641"/>
      <c r="O364" s="641">
        <f>+L364+M364-N364</f>
        <v>0</v>
      </c>
      <c r="P364" s="641"/>
      <c r="Q364" s="641"/>
      <c r="R364" s="641"/>
      <c r="S364" s="641"/>
      <c r="T364" s="641"/>
      <c r="U364" s="641"/>
      <c r="V364" s="648" t="e">
        <f t="shared" si="117"/>
        <v>#DIV/0!</v>
      </c>
      <c r="W364" s="644"/>
      <c r="X364" s="584" t="e">
        <f t="shared" si="116"/>
        <v>#DIV/0!</v>
      </c>
      <c r="Y364" s="584" t="e">
        <f t="shared" si="116"/>
        <v>#DIV/0!</v>
      </c>
      <c r="Z364" s="584" t="e">
        <f t="shared" si="116"/>
        <v>#DIV/0!</v>
      </c>
      <c r="AA364" s="584" t="e">
        <f t="shared" si="115"/>
        <v>#DIV/0!</v>
      </c>
    </row>
    <row r="365" spans="1:27" ht="19.5" hidden="1" customHeight="1" thickTop="1" thickBot="1" x14ac:dyDescent="0.3">
      <c r="A365" s="451">
        <v>1</v>
      </c>
      <c r="B365" s="450" t="s">
        <v>1343</v>
      </c>
      <c r="C365" s="450" t="s">
        <v>1413</v>
      </c>
      <c r="D365" s="450" t="s">
        <v>1359</v>
      </c>
      <c r="E365" s="450" t="s">
        <v>1345</v>
      </c>
      <c r="F365" s="450" t="s">
        <v>2377</v>
      </c>
      <c r="G365" s="450" t="s">
        <v>1354</v>
      </c>
      <c r="H365" s="450"/>
      <c r="I365" s="450"/>
      <c r="J365" s="450"/>
      <c r="K365" s="647" t="s">
        <v>2380</v>
      </c>
      <c r="L365" s="641"/>
      <c r="M365" s="641"/>
      <c r="N365" s="641"/>
      <c r="O365" s="641">
        <f>+L365+M365-N365</f>
        <v>0</v>
      </c>
      <c r="P365" s="641"/>
      <c r="Q365" s="641"/>
      <c r="R365" s="641"/>
      <c r="S365" s="641"/>
      <c r="T365" s="641"/>
      <c r="U365" s="641"/>
      <c r="V365" s="648" t="e">
        <f t="shared" si="117"/>
        <v>#DIV/0!</v>
      </c>
      <c r="W365" s="644"/>
      <c r="X365" s="584" t="e">
        <f t="shared" si="116"/>
        <v>#DIV/0!</v>
      </c>
      <c r="Y365" s="584" t="e">
        <f t="shared" si="116"/>
        <v>#DIV/0!</v>
      </c>
      <c r="Z365" s="584" t="e">
        <f t="shared" si="116"/>
        <v>#DIV/0!</v>
      </c>
      <c r="AA365" s="584" t="e">
        <f t="shared" si="115"/>
        <v>#DIV/0!</v>
      </c>
    </row>
    <row r="366" spans="1:27" s="625" customFormat="1" ht="18" hidden="1" customHeight="1" thickTop="1" thickBot="1" x14ac:dyDescent="0.3">
      <c r="A366" s="618">
        <v>1</v>
      </c>
      <c r="B366" s="619" t="s">
        <v>1343</v>
      </c>
      <c r="C366" s="619" t="s">
        <v>1413</v>
      </c>
      <c r="D366" s="619" t="s">
        <v>1359</v>
      </c>
      <c r="E366" s="619" t="s">
        <v>1350</v>
      </c>
      <c r="F366" s="619"/>
      <c r="G366" s="619"/>
      <c r="H366" s="619"/>
      <c r="I366" s="619"/>
      <c r="J366" s="619"/>
      <c r="K366" s="620" t="s">
        <v>2381</v>
      </c>
      <c r="L366" s="621">
        <f>+L367</f>
        <v>0</v>
      </c>
      <c r="M366" s="621">
        <f t="shared" ref="M366:U366" si="123">+M367</f>
        <v>0</v>
      </c>
      <c r="N366" s="621">
        <f t="shared" si="123"/>
        <v>0</v>
      </c>
      <c r="O366" s="621">
        <f t="shared" si="123"/>
        <v>0</v>
      </c>
      <c r="P366" s="621">
        <f t="shared" si="123"/>
        <v>0</v>
      </c>
      <c r="Q366" s="621">
        <f t="shared" si="123"/>
        <v>0</v>
      </c>
      <c r="R366" s="621">
        <f t="shared" si="123"/>
        <v>0</v>
      </c>
      <c r="S366" s="621">
        <f t="shared" si="123"/>
        <v>0</v>
      </c>
      <c r="T366" s="621">
        <f t="shared" si="123"/>
        <v>0</v>
      </c>
      <c r="U366" s="621">
        <f t="shared" si="123"/>
        <v>0</v>
      </c>
      <c r="V366" s="622" t="e">
        <f t="shared" si="117"/>
        <v>#DIV/0!</v>
      </c>
      <c r="W366" s="623"/>
      <c r="X366" s="625" t="e">
        <f t="shared" si="116"/>
        <v>#DIV/0!</v>
      </c>
      <c r="Y366" s="625" t="e">
        <f t="shared" si="116"/>
        <v>#DIV/0!</v>
      </c>
      <c r="Z366" s="625" t="e">
        <f t="shared" si="116"/>
        <v>#DIV/0!</v>
      </c>
      <c r="AA366" s="625" t="e">
        <f t="shared" si="115"/>
        <v>#DIV/0!</v>
      </c>
    </row>
    <row r="367" spans="1:27" s="587" customFormat="1" ht="24" hidden="1" customHeight="1" thickTop="1" thickBot="1" x14ac:dyDescent="0.3">
      <c r="A367" s="633">
        <v>1</v>
      </c>
      <c r="B367" s="524" t="s">
        <v>1343</v>
      </c>
      <c r="C367" s="524" t="s">
        <v>1413</v>
      </c>
      <c r="D367" s="524" t="s">
        <v>1359</v>
      </c>
      <c r="E367" s="524" t="s">
        <v>1350</v>
      </c>
      <c r="F367" s="524" t="s">
        <v>2138</v>
      </c>
      <c r="G367" s="524"/>
      <c r="H367" s="524"/>
      <c r="I367" s="524"/>
      <c r="J367" s="524"/>
      <c r="K367" s="634" t="s">
        <v>2382</v>
      </c>
      <c r="L367" s="635"/>
      <c r="M367" s="635"/>
      <c r="N367" s="635"/>
      <c r="O367" s="635">
        <f>+L367+M367-N367</f>
        <v>0</v>
      </c>
      <c r="P367" s="635"/>
      <c r="Q367" s="635"/>
      <c r="R367" s="635"/>
      <c r="S367" s="635"/>
      <c r="T367" s="635"/>
      <c r="U367" s="635"/>
      <c r="V367" s="636" t="e">
        <f t="shared" si="117"/>
        <v>#DIV/0!</v>
      </c>
      <c r="W367" s="637"/>
      <c r="X367" s="587" t="e">
        <f t="shared" si="116"/>
        <v>#DIV/0!</v>
      </c>
      <c r="Y367" s="587" t="e">
        <f t="shared" si="116"/>
        <v>#DIV/0!</v>
      </c>
      <c r="Z367" s="587" t="e">
        <f t="shared" si="116"/>
        <v>#DIV/0!</v>
      </c>
      <c r="AA367" s="587" t="e">
        <f t="shared" si="115"/>
        <v>#DIV/0!</v>
      </c>
    </row>
    <row r="368" spans="1:27" s="625" customFormat="1" ht="22.5" hidden="1" customHeight="1" thickTop="1" thickBot="1" x14ac:dyDescent="0.3">
      <c r="A368" s="618">
        <v>1</v>
      </c>
      <c r="B368" s="619" t="s">
        <v>1343</v>
      </c>
      <c r="C368" s="619" t="s">
        <v>1413</v>
      </c>
      <c r="D368" s="619" t="s">
        <v>1359</v>
      </c>
      <c r="E368" s="619" t="s">
        <v>1354</v>
      </c>
      <c r="F368" s="619"/>
      <c r="G368" s="619"/>
      <c r="H368" s="619"/>
      <c r="I368" s="619"/>
      <c r="J368" s="619"/>
      <c r="K368" s="620" t="s">
        <v>2383</v>
      </c>
      <c r="L368" s="621"/>
      <c r="M368" s="621"/>
      <c r="N368" s="621"/>
      <c r="O368" s="621">
        <f>+L368+M368-N368</f>
        <v>0</v>
      </c>
      <c r="P368" s="621"/>
      <c r="Q368" s="621"/>
      <c r="R368" s="621"/>
      <c r="S368" s="621"/>
      <c r="T368" s="621"/>
      <c r="U368" s="621"/>
      <c r="V368" s="622" t="e">
        <f t="shared" si="117"/>
        <v>#DIV/0!</v>
      </c>
      <c r="W368" s="623"/>
      <c r="X368" s="625" t="e">
        <f t="shared" si="116"/>
        <v>#DIV/0!</v>
      </c>
      <c r="Y368" s="625" t="e">
        <f t="shared" si="116"/>
        <v>#DIV/0!</v>
      </c>
      <c r="Z368" s="625" t="e">
        <f t="shared" si="116"/>
        <v>#DIV/0!</v>
      </c>
      <c r="AA368" s="625" t="e">
        <f t="shared" si="115"/>
        <v>#DIV/0!</v>
      </c>
    </row>
    <row r="369" spans="1:27" s="617" customFormat="1" ht="22.5" customHeight="1" thickTop="1" thickBot="1" x14ac:dyDescent="0.3">
      <c r="A369" s="611">
        <v>1</v>
      </c>
      <c r="B369" s="448" t="s">
        <v>1343</v>
      </c>
      <c r="C369" s="448" t="s">
        <v>1413</v>
      </c>
      <c r="D369" s="448" t="s">
        <v>1360</v>
      </c>
      <c r="E369" s="448"/>
      <c r="F369" s="448"/>
      <c r="G369" s="448"/>
      <c r="H369" s="448"/>
      <c r="I369" s="448"/>
      <c r="J369" s="448"/>
      <c r="K369" s="612" t="s">
        <v>1398</v>
      </c>
      <c r="L369" s="613">
        <f>+L370+L376+L383</f>
        <v>44606000000</v>
      </c>
      <c r="M369" s="613">
        <f t="shared" ref="M369:U369" si="124">+M370+M376+M383</f>
        <v>0</v>
      </c>
      <c r="N369" s="613">
        <f t="shared" si="124"/>
        <v>0</v>
      </c>
      <c r="O369" s="613">
        <f t="shared" si="124"/>
        <v>44606000000</v>
      </c>
      <c r="P369" s="613">
        <f t="shared" si="124"/>
        <v>0</v>
      </c>
      <c r="Q369" s="613">
        <f t="shared" si="124"/>
        <v>44606000000</v>
      </c>
      <c r="R369" s="613">
        <f t="shared" si="124"/>
        <v>0</v>
      </c>
      <c r="S369" s="613">
        <f t="shared" si="124"/>
        <v>0</v>
      </c>
      <c r="T369" s="613">
        <f t="shared" si="124"/>
        <v>29156000000</v>
      </c>
      <c r="U369" s="613">
        <f t="shared" si="124"/>
        <v>29156000000</v>
      </c>
      <c r="V369" s="614">
        <f t="shared" si="117"/>
        <v>1</v>
      </c>
      <c r="W369" s="615"/>
      <c r="X369" s="616">
        <f t="shared" si="116"/>
        <v>0</v>
      </c>
      <c r="Y369" s="616">
        <f t="shared" si="116"/>
        <v>1</v>
      </c>
      <c r="Z369" s="616">
        <f t="shared" si="116"/>
        <v>0</v>
      </c>
      <c r="AA369" s="616">
        <f t="shared" si="115"/>
        <v>0</v>
      </c>
    </row>
    <row r="370" spans="1:27" s="625" customFormat="1" ht="22.5" customHeight="1" thickTop="1" thickBot="1" x14ac:dyDescent="0.3">
      <c r="A370" s="618">
        <v>1</v>
      </c>
      <c r="B370" s="619" t="s">
        <v>1343</v>
      </c>
      <c r="C370" s="619" t="s">
        <v>1413</v>
      </c>
      <c r="D370" s="619" t="s">
        <v>1360</v>
      </c>
      <c r="E370" s="619" t="s">
        <v>1345</v>
      </c>
      <c r="F370" s="619"/>
      <c r="G370" s="619"/>
      <c r="H370" s="619"/>
      <c r="I370" s="619"/>
      <c r="J370" s="619"/>
      <c r="K370" s="620" t="s">
        <v>1399</v>
      </c>
      <c r="L370" s="621">
        <f>+L371+L372+L373+L374+L375</f>
        <v>44606000000</v>
      </c>
      <c r="M370" s="621">
        <f t="shared" ref="M370:U370" si="125">+M371+M372+M373+M374+M375</f>
        <v>0</v>
      </c>
      <c r="N370" s="621">
        <f t="shared" si="125"/>
        <v>0</v>
      </c>
      <c r="O370" s="621">
        <f>+O371+O372+O373+O374+O375</f>
        <v>44606000000</v>
      </c>
      <c r="P370" s="621">
        <f t="shared" si="125"/>
        <v>0</v>
      </c>
      <c r="Q370" s="621">
        <f t="shared" si="125"/>
        <v>44606000000</v>
      </c>
      <c r="R370" s="621">
        <f t="shared" si="125"/>
        <v>0</v>
      </c>
      <c r="S370" s="621">
        <f>+S371+S372+S373+S374+S375</f>
        <v>0</v>
      </c>
      <c r="T370" s="621">
        <f t="shared" si="125"/>
        <v>29156000000</v>
      </c>
      <c r="U370" s="621">
        <f t="shared" si="125"/>
        <v>29156000000</v>
      </c>
      <c r="V370" s="622">
        <f t="shared" si="117"/>
        <v>1</v>
      </c>
      <c r="W370" s="623"/>
      <c r="X370" s="624">
        <f t="shared" si="116"/>
        <v>0</v>
      </c>
      <c r="Y370" s="624">
        <f t="shared" si="116"/>
        <v>1</v>
      </c>
      <c r="Z370" s="624">
        <f t="shared" si="116"/>
        <v>0</v>
      </c>
      <c r="AA370" s="624">
        <f t="shared" si="115"/>
        <v>0</v>
      </c>
    </row>
    <row r="371" spans="1:27" ht="19.5" customHeight="1" thickTop="1" thickBot="1" x14ac:dyDescent="0.3">
      <c r="A371" s="451">
        <v>1</v>
      </c>
      <c r="B371" s="450" t="s">
        <v>1343</v>
      </c>
      <c r="C371" s="450" t="s">
        <v>1413</v>
      </c>
      <c r="D371" s="450" t="s">
        <v>1360</v>
      </c>
      <c r="E371" s="450" t="s">
        <v>1345</v>
      </c>
      <c r="F371" s="450" t="s">
        <v>2138</v>
      </c>
      <c r="G371" s="450"/>
      <c r="H371" s="450"/>
      <c r="I371" s="450"/>
      <c r="J371" s="450"/>
      <c r="K371" s="647" t="s">
        <v>2384</v>
      </c>
      <c r="L371" s="641">
        <v>44606000000</v>
      </c>
      <c r="M371" s="641"/>
      <c r="N371" s="641"/>
      <c r="O371" s="641">
        <f>+L371+M371-N371</f>
        <v>44606000000</v>
      </c>
      <c r="P371" s="641"/>
      <c r="Q371" s="642">
        <v>44606000000</v>
      </c>
      <c r="R371" s="641"/>
      <c r="S371" s="641"/>
      <c r="T371" s="642">
        <v>29156000000</v>
      </c>
      <c r="U371" s="642">
        <v>29156000000</v>
      </c>
      <c r="V371" s="648">
        <f t="shared" si="117"/>
        <v>1</v>
      </c>
      <c r="W371" s="644"/>
      <c r="X371" s="584">
        <f>+P371/$O371</f>
        <v>0</v>
      </c>
      <c r="Y371" s="584">
        <f>+Q371/$O371</f>
        <v>1</v>
      </c>
      <c r="Z371" s="584">
        <f>+R371/$O371</f>
        <v>0</v>
      </c>
      <c r="AA371" s="584">
        <f>+S371/$O371</f>
        <v>0</v>
      </c>
    </row>
    <row r="372" spans="1:27" ht="22.5" hidden="1" customHeight="1" thickTop="1" thickBot="1" x14ac:dyDescent="0.3">
      <c r="A372" s="451">
        <v>1</v>
      </c>
      <c r="B372" s="450" t="s">
        <v>1343</v>
      </c>
      <c r="C372" s="450" t="s">
        <v>1413</v>
      </c>
      <c r="D372" s="450" t="s">
        <v>1360</v>
      </c>
      <c r="E372" s="450" t="s">
        <v>1345</v>
      </c>
      <c r="F372" s="450" t="s">
        <v>2160</v>
      </c>
      <c r="G372" s="450"/>
      <c r="H372" s="450"/>
      <c r="I372" s="450"/>
      <c r="J372" s="450"/>
      <c r="K372" s="647" t="s">
        <v>2385</v>
      </c>
      <c r="L372" s="641"/>
      <c r="M372" s="641"/>
      <c r="N372" s="641"/>
      <c r="O372" s="641">
        <f>+L372+M372-N372</f>
        <v>0</v>
      </c>
      <c r="P372" s="641"/>
      <c r="Q372" s="641"/>
      <c r="R372" s="641"/>
      <c r="S372" s="641"/>
      <c r="T372" s="641"/>
      <c r="U372" s="641"/>
      <c r="V372" s="648" t="e">
        <f t="shared" si="117"/>
        <v>#DIV/0!</v>
      </c>
      <c r="W372" s="644"/>
      <c r="X372" s="584" t="e">
        <f t="shared" si="116"/>
        <v>#DIV/0!</v>
      </c>
      <c r="Y372" s="584" t="e">
        <f t="shared" si="116"/>
        <v>#DIV/0!</v>
      </c>
      <c r="Z372" s="584" t="e">
        <f t="shared" si="116"/>
        <v>#DIV/0!</v>
      </c>
      <c r="AA372" s="584" t="e">
        <f t="shared" si="115"/>
        <v>#DIV/0!</v>
      </c>
    </row>
    <row r="373" spans="1:27" ht="18.75" hidden="1" customHeight="1" thickTop="1" thickBot="1" x14ac:dyDescent="0.3">
      <c r="A373" s="451">
        <v>1</v>
      </c>
      <c r="B373" s="450" t="s">
        <v>1343</v>
      </c>
      <c r="C373" s="450" t="s">
        <v>1413</v>
      </c>
      <c r="D373" s="450" t="s">
        <v>1360</v>
      </c>
      <c r="E373" s="450" t="s">
        <v>1345</v>
      </c>
      <c r="F373" s="450" t="s">
        <v>2214</v>
      </c>
      <c r="G373" s="450"/>
      <c r="H373" s="450"/>
      <c r="I373" s="450"/>
      <c r="J373" s="450"/>
      <c r="K373" s="647" t="s">
        <v>1882</v>
      </c>
      <c r="L373" s="641"/>
      <c r="M373" s="641"/>
      <c r="N373" s="641"/>
      <c r="O373" s="641">
        <f>+L373+M373-N373</f>
        <v>0</v>
      </c>
      <c r="P373" s="641"/>
      <c r="Q373" s="641"/>
      <c r="R373" s="641"/>
      <c r="S373" s="641"/>
      <c r="T373" s="641"/>
      <c r="U373" s="641"/>
      <c r="V373" s="648" t="e">
        <f t="shared" si="117"/>
        <v>#DIV/0!</v>
      </c>
      <c r="W373" s="644"/>
      <c r="X373" s="584" t="e">
        <f t="shared" si="116"/>
        <v>#DIV/0!</v>
      </c>
      <c r="Y373" s="584" t="e">
        <f t="shared" si="116"/>
        <v>#DIV/0!</v>
      </c>
      <c r="Z373" s="584" t="e">
        <f t="shared" si="116"/>
        <v>#DIV/0!</v>
      </c>
      <c r="AA373" s="584" t="e">
        <f t="shared" si="115"/>
        <v>#DIV/0!</v>
      </c>
    </row>
    <row r="374" spans="1:27" ht="21" hidden="1" customHeight="1" thickTop="1" thickBot="1" x14ac:dyDescent="0.3">
      <c r="A374" s="451">
        <v>1</v>
      </c>
      <c r="B374" s="450" t="s">
        <v>1343</v>
      </c>
      <c r="C374" s="450" t="s">
        <v>1413</v>
      </c>
      <c r="D374" s="450" t="s">
        <v>1360</v>
      </c>
      <c r="E374" s="450" t="s">
        <v>1345</v>
      </c>
      <c r="F374" s="450" t="s">
        <v>2222</v>
      </c>
      <c r="G374" s="450"/>
      <c r="H374" s="450"/>
      <c r="I374" s="450"/>
      <c r="J374" s="450"/>
      <c r="K374" s="689" t="s">
        <v>1881</v>
      </c>
      <c r="L374" s="641"/>
      <c r="M374" s="641">
        <v>0</v>
      </c>
      <c r="N374" s="641">
        <v>0</v>
      </c>
      <c r="O374" s="642">
        <f>+L374+M374-N374</f>
        <v>0</v>
      </c>
      <c r="P374" s="642"/>
      <c r="Q374" s="642"/>
      <c r="R374" s="642"/>
      <c r="S374" s="642"/>
      <c r="T374" s="642"/>
      <c r="U374" s="642"/>
      <c r="V374" s="643" t="e">
        <f t="shared" si="117"/>
        <v>#DIV/0!</v>
      </c>
      <c r="W374" s="665"/>
      <c r="X374" s="646" t="e">
        <f t="shared" si="116"/>
        <v>#DIV/0!</v>
      </c>
      <c r="Y374" s="646" t="e">
        <f t="shared" si="116"/>
        <v>#DIV/0!</v>
      </c>
      <c r="Z374" s="646" t="e">
        <f t="shared" si="116"/>
        <v>#DIV/0!</v>
      </c>
      <c r="AA374" s="646" t="e">
        <f t="shared" si="115"/>
        <v>#DIV/0!</v>
      </c>
    </row>
    <row r="375" spans="1:27" ht="17.25" hidden="1" customHeight="1" thickTop="1" thickBot="1" x14ac:dyDescent="0.3">
      <c r="A375" s="451">
        <v>1</v>
      </c>
      <c r="B375" s="450" t="s">
        <v>1343</v>
      </c>
      <c r="C375" s="450" t="s">
        <v>1413</v>
      </c>
      <c r="D375" s="450" t="s">
        <v>1360</v>
      </c>
      <c r="E375" s="450" t="s">
        <v>1345</v>
      </c>
      <c r="F375" s="450" t="s">
        <v>2386</v>
      </c>
      <c r="G375" s="450"/>
      <c r="H375" s="450"/>
      <c r="I375" s="450"/>
      <c r="J375" s="450"/>
      <c r="K375" s="647" t="s">
        <v>1883</v>
      </c>
      <c r="L375" s="641"/>
      <c r="M375" s="641"/>
      <c r="N375" s="641"/>
      <c r="O375" s="641">
        <f>+L375+M375-N375</f>
        <v>0</v>
      </c>
      <c r="P375" s="641"/>
      <c r="Q375" s="641"/>
      <c r="R375" s="641"/>
      <c r="S375" s="641"/>
      <c r="T375" s="641"/>
      <c r="U375" s="641"/>
      <c r="V375" s="648" t="e">
        <f t="shared" si="117"/>
        <v>#DIV/0!</v>
      </c>
      <c r="W375" s="644"/>
      <c r="X375" s="584" t="e">
        <f t="shared" si="116"/>
        <v>#DIV/0!</v>
      </c>
      <c r="Y375" s="584" t="e">
        <f t="shared" si="116"/>
        <v>#DIV/0!</v>
      </c>
      <c r="Z375" s="584" t="e">
        <f t="shared" si="116"/>
        <v>#DIV/0!</v>
      </c>
      <c r="AA375" s="584" t="e">
        <f t="shared" si="115"/>
        <v>#DIV/0!</v>
      </c>
    </row>
    <row r="376" spans="1:27" s="625" customFormat="1" ht="18.75" hidden="1" customHeight="1" thickTop="1" thickBot="1" x14ac:dyDescent="0.3">
      <c r="A376" s="618">
        <v>1</v>
      </c>
      <c r="B376" s="619" t="s">
        <v>1343</v>
      </c>
      <c r="C376" s="619" t="s">
        <v>1413</v>
      </c>
      <c r="D376" s="619" t="s">
        <v>1360</v>
      </c>
      <c r="E376" s="619" t="s">
        <v>1350</v>
      </c>
      <c r="F376" s="619"/>
      <c r="G376" s="619"/>
      <c r="H376" s="619"/>
      <c r="I376" s="619"/>
      <c r="J376" s="619"/>
      <c r="K376" s="620" t="s">
        <v>2381</v>
      </c>
      <c r="L376" s="621">
        <f>+L377+L382</f>
        <v>0</v>
      </c>
      <c r="M376" s="621">
        <f t="shared" ref="M376:U376" si="126">+M377+M382</f>
        <v>0</v>
      </c>
      <c r="N376" s="621">
        <f t="shared" si="126"/>
        <v>0</v>
      </c>
      <c r="O376" s="621">
        <f t="shared" si="126"/>
        <v>0</v>
      </c>
      <c r="P376" s="621">
        <f t="shared" si="126"/>
        <v>0</v>
      </c>
      <c r="Q376" s="621">
        <f t="shared" si="126"/>
        <v>0</v>
      </c>
      <c r="R376" s="621">
        <f t="shared" si="126"/>
        <v>0</v>
      </c>
      <c r="S376" s="621">
        <f t="shared" si="126"/>
        <v>0</v>
      </c>
      <c r="T376" s="621">
        <f t="shared" si="126"/>
        <v>0</v>
      </c>
      <c r="U376" s="621">
        <f t="shared" si="126"/>
        <v>0</v>
      </c>
      <c r="V376" s="622" t="e">
        <f t="shared" si="117"/>
        <v>#DIV/0!</v>
      </c>
      <c r="W376" s="623"/>
      <c r="X376" s="625" t="e">
        <f t="shared" si="116"/>
        <v>#DIV/0!</v>
      </c>
      <c r="Y376" s="625" t="e">
        <f t="shared" si="116"/>
        <v>#DIV/0!</v>
      </c>
      <c r="Z376" s="625" t="e">
        <f t="shared" si="116"/>
        <v>#DIV/0!</v>
      </c>
      <c r="AA376" s="625" t="e">
        <f t="shared" si="115"/>
        <v>#DIV/0!</v>
      </c>
    </row>
    <row r="377" spans="1:27" s="632" customFormat="1" ht="17.25" hidden="1" customHeight="1" thickTop="1" thickBot="1" x14ac:dyDescent="0.3">
      <c r="A377" s="626">
        <v>1</v>
      </c>
      <c r="B377" s="449" t="s">
        <v>1343</v>
      </c>
      <c r="C377" s="449" t="s">
        <v>1413</v>
      </c>
      <c r="D377" s="449" t="s">
        <v>1360</v>
      </c>
      <c r="E377" s="449" t="s">
        <v>1350</v>
      </c>
      <c r="F377" s="449" t="s">
        <v>2138</v>
      </c>
      <c r="G377" s="449"/>
      <c r="H377" s="449"/>
      <c r="I377" s="449"/>
      <c r="J377" s="449"/>
      <c r="K377" s="627" t="s">
        <v>2387</v>
      </c>
      <c r="L377" s="628">
        <f>+L378+L379+L380+L381</f>
        <v>0</v>
      </c>
      <c r="M377" s="628">
        <f t="shared" ref="M377:U377" si="127">+M378+M379+M380+M381</f>
        <v>0</v>
      </c>
      <c r="N377" s="628">
        <f t="shared" si="127"/>
        <v>0</v>
      </c>
      <c r="O377" s="628">
        <f t="shared" si="127"/>
        <v>0</v>
      </c>
      <c r="P377" s="628">
        <f t="shared" si="127"/>
        <v>0</v>
      </c>
      <c r="Q377" s="628">
        <f t="shared" si="127"/>
        <v>0</v>
      </c>
      <c r="R377" s="628">
        <f t="shared" si="127"/>
        <v>0</v>
      </c>
      <c r="S377" s="628">
        <f t="shared" si="127"/>
        <v>0</v>
      </c>
      <c r="T377" s="628">
        <f t="shared" si="127"/>
        <v>0</v>
      </c>
      <c r="U377" s="628">
        <f t="shared" si="127"/>
        <v>0</v>
      </c>
      <c r="V377" s="629" t="e">
        <f t="shared" si="117"/>
        <v>#DIV/0!</v>
      </c>
      <c r="W377" s="630"/>
      <c r="X377" s="632" t="e">
        <f t="shared" si="116"/>
        <v>#DIV/0!</v>
      </c>
      <c r="Y377" s="632" t="e">
        <f t="shared" si="116"/>
        <v>#DIV/0!</v>
      </c>
      <c r="Z377" s="632" t="e">
        <f t="shared" si="116"/>
        <v>#DIV/0!</v>
      </c>
      <c r="AA377" s="632" t="e">
        <f t="shared" si="115"/>
        <v>#DIV/0!</v>
      </c>
    </row>
    <row r="378" spans="1:27" ht="17.25" hidden="1" customHeight="1" thickTop="1" thickBot="1" x14ac:dyDescent="0.3">
      <c r="A378" s="451">
        <v>1</v>
      </c>
      <c r="B378" s="450" t="s">
        <v>1343</v>
      </c>
      <c r="C378" s="450" t="s">
        <v>1413</v>
      </c>
      <c r="D378" s="450" t="s">
        <v>1360</v>
      </c>
      <c r="E378" s="450" t="s">
        <v>1350</v>
      </c>
      <c r="F378" s="450" t="s">
        <v>2138</v>
      </c>
      <c r="G378" s="450" t="s">
        <v>1345</v>
      </c>
      <c r="H378" s="450"/>
      <c r="I378" s="450"/>
      <c r="J378" s="450"/>
      <c r="K378" s="647" t="s">
        <v>2388</v>
      </c>
      <c r="L378" s="641"/>
      <c r="M378" s="641"/>
      <c r="N378" s="641"/>
      <c r="O378" s="641">
        <f t="shared" ref="O378:O383" si="128">+L378+M378-N378</f>
        <v>0</v>
      </c>
      <c r="P378" s="641"/>
      <c r="Q378" s="641"/>
      <c r="R378" s="641"/>
      <c r="S378" s="641"/>
      <c r="T378" s="641"/>
      <c r="U378" s="641"/>
      <c r="V378" s="648" t="e">
        <f t="shared" si="117"/>
        <v>#DIV/0!</v>
      </c>
      <c r="W378" s="644"/>
      <c r="X378" s="584" t="e">
        <f t="shared" si="116"/>
        <v>#DIV/0!</v>
      </c>
      <c r="Y378" s="584" t="e">
        <f t="shared" si="116"/>
        <v>#DIV/0!</v>
      </c>
      <c r="Z378" s="584" t="e">
        <f t="shared" si="116"/>
        <v>#DIV/0!</v>
      </c>
      <c r="AA378" s="584" t="e">
        <f t="shared" si="115"/>
        <v>#DIV/0!</v>
      </c>
    </row>
    <row r="379" spans="1:27" ht="18" hidden="1" customHeight="1" thickTop="1" thickBot="1" x14ac:dyDescent="0.3">
      <c r="A379" s="451">
        <v>1</v>
      </c>
      <c r="B379" s="450" t="s">
        <v>1343</v>
      </c>
      <c r="C379" s="450" t="s">
        <v>1413</v>
      </c>
      <c r="D379" s="450" t="s">
        <v>1360</v>
      </c>
      <c r="E379" s="450" t="s">
        <v>1350</v>
      </c>
      <c r="F379" s="450" t="s">
        <v>2138</v>
      </c>
      <c r="G379" s="450" t="s">
        <v>1350</v>
      </c>
      <c r="H379" s="450"/>
      <c r="I379" s="450"/>
      <c r="J379" s="450"/>
      <c r="K379" s="647" t="s">
        <v>2389</v>
      </c>
      <c r="L379" s="641"/>
      <c r="M379" s="641"/>
      <c r="N379" s="641"/>
      <c r="O379" s="641">
        <f t="shared" si="128"/>
        <v>0</v>
      </c>
      <c r="P379" s="641"/>
      <c r="Q379" s="641"/>
      <c r="R379" s="641"/>
      <c r="S379" s="641"/>
      <c r="T379" s="641"/>
      <c r="U379" s="641"/>
      <c r="V379" s="648" t="e">
        <f t="shared" si="117"/>
        <v>#DIV/0!</v>
      </c>
      <c r="W379" s="644"/>
      <c r="X379" s="584" t="e">
        <f t="shared" si="116"/>
        <v>#DIV/0!</v>
      </c>
      <c r="Y379" s="584" t="e">
        <f t="shared" si="116"/>
        <v>#DIV/0!</v>
      </c>
      <c r="Z379" s="584" t="e">
        <f t="shared" si="116"/>
        <v>#DIV/0!</v>
      </c>
      <c r="AA379" s="584" t="e">
        <f t="shared" si="115"/>
        <v>#DIV/0!</v>
      </c>
    </row>
    <row r="380" spans="1:27" ht="22.5" hidden="1" customHeight="1" thickTop="1" thickBot="1" x14ac:dyDescent="0.3">
      <c r="A380" s="451">
        <v>1</v>
      </c>
      <c r="B380" s="450" t="s">
        <v>1343</v>
      </c>
      <c r="C380" s="450" t="s">
        <v>1413</v>
      </c>
      <c r="D380" s="450" t="s">
        <v>1360</v>
      </c>
      <c r="E380" s="450" t="s">
        <v>1350</v>
      </c>
      <c r="F380" s="450" t="s">
        <v>2138</v>
      </c>
      <c r="G380" s="450" t="s">
        <v>1354</v>
      </c>
      <c r="H380" s="450"/>
      <c r="I380" s="450"/>
      <c r="J380" s="450"/>
      <c r="K380" s="647" t="s">
        <v>2390</v>
      </c>
      <c r="L380" s="641"/>
      <c r="M380" s="641"/>
      <c r="N380" s="641"/>
      <c r="O380" s="641">
        <f t="shared" si="128"/>
        <v>0</v>
      </c>
      <c r="P380" s="641"/>
      <c r="Q380" s="641"/>
      <c r="R380" s="641"/>
      <c r="S380" s="641"/>
      <c r="T380" s="641"/>
      <c r="U380" s="641"/>
      <c r="V380" s="648" t="e">
        <f t="shared" si="117"/>
        <v>#DIV/0!</v>
      </c>
      <c r="W380" s="644"/>
      <c r="X380" s="584" t="e">
        <f t="shared" si="116"/>
        <v>#DIV/0!</v>
      </c>
      <c r="Y380" s="584" t="e">
        <f t="shared" si="116"/>
        <v>#DIV/0!</v>
      </c>
      <c r="Z380" s="584" t="e">
        <f t="shared" si="116"/>
        <v>#DIV/0!</v>
      </c>
      <c r="AA380" s="584" t="e">
        <f t="shared" si="115"/>
        <v>#DIV/0!</v>
      </c>
    </row>
    <row r="381" spans="1:27" ht="22.5" hidden="1" customHeight="1" thickTop="1" thickBot="1" x14ac:dyDescent="0.3">
      <c r="A381" s="451">
        <v>1</v>
      </c>
      <c r="B381" s="450" t="s">
        <v>1343</v>
      </c>
      <c r="C381" s="450" t="s">
        <v>1413</v>
      </c>
      <c r="D381" s="450" t="s">
        <v>1360</v>
      </c>
      <c r="E381" s="450" t="s">
        <v>1350</v>
      </c>
      <c r="F381" s="450" t="s">
        <v>2138</v>
      </c>
      <c r="G381" s="450" t="s">
        <v>1355</v>
      </c>
      <c r="H381" s="450"/>
      <c r="I381" s="450"/>
      <c r="J381" s="450"/>
      <c r="K381" s="647" t="s">
        <v>2391</v>
      </c>
      <c r="L381" s="641"/>
      <c r="M381" s="641"/>
      <c r="N381" s="641"/>
      <c r="O381" s="641">
        <f t="shared" si="128"/>
        <v>0</v>
      </c>
      <c r="P381" s="641"/>
      <c r="Q381" s="641"/>
      <c r="R381" s="641"/>
      <c r="S381" s="641"/>
      <c r="T381" s="641"/>
      <c r="U381" s="641"/>
      <c r="V381" s="648" t="e">
        <f t="shared" si="117"/>
        <v>#DIV/0!</v>
      </c>
      <c r="W381" s="644"/>
      <c r="X381" s="584" t="e">
        <f t="shared" si="116"/>
        <v>#DIV/0!</v>
      </c>
      <c r="Y381" s="584" t="e">
        <f t="shared" si="116"/>
        <v>#DIV/0!</v>
      </c>
      <c r="Z381" s="584" t="e">
        <f t="shared" si="116"/>
        <v>#DIV/0!</v>
      </c>
      <c r="AA381" s="584" t="e">
        <f t="shared" si="115"/>
        <v>#DIV/0!</v>
      </c>
    </row>
    <row r="382" spans="1:27" s="632" customFormat="1" ht="30" hidden="1" customHeight="1" thickTop="1" thickBot="1" x14ac:dyDescent="0.3">
      <c r="A382" s="626">
        <v>1</v>
      </c>
      <c r="B382" s="449" t="s">
        <v>1343</v>
      </c>
      <c r="C382" s="449" t="s">
        <v>1413</v>
      </c>
      <c r="D382" s="449" t="s">
        <v>1360</v>
      </c>
      <c r="E382" s="449" t="s">
        <v>1350</v>
      </c>
      <c r="F382" s="449" t="s">
        <v>2160</v>
      </c>
      <c r="G382" s="449"/>
      <c r="H382" s="449"/>
      <c r="I382" s="449"/>
      <c r="J382" s="449"/>
      <c r="K382" s="627" t="s">
        <v>2392</v>
      </c>
      <c r="L382" s="628"/>
      <c r="M382" s="628"/>
      <c r="N382" s="628"/>
      <c r="O382" s="628">
        <f t="shared" si="128"/>
        <v>0</v>
      </c>
      <c r="P382" s="628"/>
      <c r="Q382" s="628"/>
      <c r="R382" s="628"/>
      <c r="S382" s="628"/>
      <c r="T382" s="628"/>
      <c r="U382" s="628"/>
      <c r="V382" s="629" t="e">
        <f t="shared" si="117"/>
        <v>#DIV/0!</v>
      </c>
      <c r="W382" s="630"/>
      <c r="X382" s="632" t="e">
        <f t="shared" si="116"/>
        <v>#DIV/0!</v>
      </c>
      <c r="Y382" s="632" t="e">
        <f t="shared" si="116"/>
        <v>#DIV/0!</v>
      </c>
      <c r="Z382" s="632" t="e">
        <f t="shared" si="116"/>
        <v>#DIV/0!</v>
      </c>
      <c r="AA382" s="632" t="e">
        <f t="shared" si="115"/>
        <v>#DIV/0!</v>
      </c>
    </row>
    <row r="383" spans="1:27" s="625" customFormat="1" ht="32.25" hidden="1" customHeight="1" thickTop="1" thickBot="1" x14ac:dyDescent="0.3">
      <c r="A383" s="618">
        <v>1</v>
      </c>
      <c r="B383" s="619" t="s">
        <v>1343</v>
      </c>
      <c r="C383" s="619" t="s">
        <v>1413</v>
      </c>
      <c r="D383" s="619" t="s">
        <v>1360</v>
      </c>
      <c r="E383" s="619" t="s">
        <v>1354</v>
      </c>
      <c r="F383" s="619"/>
      <c r="G383" s="619"/>
      <c r="H383" s="619"/>
      <c r="I383" s="619"/>
      <c r="J383" s="619"/>
      <c r="K383" s="620" t="s">
        <v>2383</v>
      </c>
      <c r="L383" s="621"/>
      <c r="M383" s="621"/>
      <c r="N383" s="621"/>
      <c r="O383" s="621">
        <f t="shared" si="128"/>
        <v>0</v>
      </c>
      <c r="P383" s="621"/>
      <c r="Q383" s="621"/>
      <c r="R383" s="621"/>
      <c r="S383" s="621"/>
      <c r="T383" s="621"/>
      <c r="U383" s="621"/>
      <c r="V383" s="622" t="e">
        <f t="shared" si="117"/>
        <v>#DIV/0!</v>
      </c>
      <c r="W383" s="623"/>
      <c r="X383" s="625" t="e">
        <f t="shared" si="116"/>
        <v>#DIV/0!</v>
      </c>
      <c r="Y383" s="625" t="e">
        <f t="shared" si="116"/>
        <v>#DIV/0!</v>
      </c>
      <c r="Z383" s="625" t="e">
        <f t="shared" si="116"/>
        <v>#DIV/0!</v>
      </c>
      <c r="AA383" s="625" t="e">
        <f t="shared" si="115"/>
        <v>#DIV/0!</v>
      </c>
    </row>
    <row r="384" spans="1:27" s="617" customFormat="1" ht="22.5" customHeight="1" thickTop="1" thickBot="1" x14ac:dyDescent="0.3">
      <c r="A384" s="611">
        <v>1</v>
      </c>
      <c r="B384" s="448" t="s">
        <v>1343</v>
      </c>
      <c r="C384" s="448" t="s">
        <v>1413</v>
      </c>
      <c r="D384" s="448" t="s">
        <v>1361</v>
      </c>
      <c r="E384" s="448"/>
      <c r="F384" s="448"/>
      <c r="G384" s="448"/>
      <c r="H384" s="448"/>
      <c r="I384" s="448"/>
      <c r="J384" s="448"/>
      <c r="K384" s="612" t="s">
        <v>2393</v>
      </c>
      <c r="L384" s="613">
        <f>+L385+L395+L396+L399</f>
        <v>516652878</v>
      </c>
      <c r="M384" s="613">
        <f t="shared" ref="M384:U384" si="129">+M385+M395+M396+M399</f>
        <v>78845193</v>
      </c>
      <c r="N384" s="613">
        <f t="shared" si="129"/>
        <v>0</v>
      </c>
      <c r="O384" s="613">
        <f t="shared" si="129"/>
        <v>595498071</v>
      </c>
      <c r="P384" s="613">
        <f t="shared" si="129"/>
        <v>0</v>
      </c>
      <c r="Q384" s="613">
        <f t="shared" si="129"/>
        <v>595498071</v>
      </c>
      <c r="R384" s="613">
        <f t="shared" si="129"/>
        <v>0</v>
      </c>
      <c r="S384" s="613">
        <f t="shared" si="129"/>
        <v>0</v>
      </c>
      <c r="T384" s="613">
        <f t="shared" si="129"/>
        <v>529794920</v>
      </c>
      <c r="U384" s="613">
        <f t="shared" si="129"/>
        <v>608640113</v>
      </c>
      <c r="V384" s="614">
        <f t="shared" si="117"/>
        <v>1.1488221008234658</v>
      </c>
      <c r="W384" s="615"/>
      <c r="X384" s="616">
        <f t="shared" si="116"/>
        <v>0</v>
      </c>
      <c r="Y384" s="616">
        <f t="shared" si="116"/>
        <v>1</v>
      </c>
      <c r="Z384" s="616">
        <f t="shared" si="116"/>
        <v>0</v>
      </c>
      <c r="AA384" s="616">
        <f t="shared" si="115"/>
        <v>0</v>
      </c>
    </row>
    <row r="385" spans="1:27" s="625" customFormat="1" ht="22.5" customHeight="1" thickTop="1" thickBot="1" x14ac:dyDescent="0.3">
      <c r="A385" s="618">
        <v>1</v>
      </c>
      <c r="B385" s="619" t="s">
        <v>1343</v>
      </c>
      <c r="C385" s="619" t="s">
        <v>1413</v>
      </c>
      <c r="D385" s="619" t="s">
        <v>1361</v>
      </c>
      <c r="E385" s="619" t="s">
        <v>1345</v>
      </c>
      <c r="F385" s="619"/>
      <c r="G385" s="619"/>
      <c r="H385" s="619"/>
      <c r="I385" s="619"/>
      <c r="J385" s="619"/>
      <c r="K385" s="620" t="s">
        <v>1278</v>
      </c>
      <c r="L385" s="621">
        <f>+L386+L389+L392</f>
        <v>516652878</v>
      </c>
      <c r="M385" s="621">
        <f t="shared" ref="M385:U385" si="130">+M386+M389+M392</f>
        <v>78845193</v>
      </c>
      <c r="N385" s="621">
        <f t="shared" si="130"/>
        <v>0</v>
      </c>
      <c r="O385" s="621">
        <f t="shared" si="130"/>
        <v>595498071</v>
      </c>
      <c r="P385" s="621">
        <f t="shared" si="130"/>
        <v>0</v>
      </c>
      <c r="Q385" s="621">
        <f t="shared" si="130"/>
        <v>595498071</v>
      </c>
      <c r="R385" s="621">
        <f t="shared" si="130"/>
        <v>0</v>
      </c>
      <c r="S385" s="621">
        <f t="shared" si="130"/>
        <v>0</v>
      </c>
      <c r="T385" s="621">
        <f t="shared" si="130"/>
        <v>529794920</v>
      </c>
      <c r="U385" s="621">
        <f t="shared" si="130"/>
        <v>608640113</v>
      </c>
      <c r="V385" s="622">
        <f t="shared" si="117"/>
        <v>1.1488221008234658</v>
      </c>
      <c r="W385" s="623"/>
      <c r="X385" s="624">
        <f t="shared" si="116"/>
        <v>0</v>
      </c>
      <c r="Y385" s="624">
        <f t="shared" si="116"/>
        <v>1</v>
      </c>
      <c r="Z385" s="624">
        <f t="shared" si="116"/>
        <v>0</v>
      </c>
      <c r="AA385" s="624">
        <f t="shared" si="115"/>
        <v>0</v>
      </c>
    </row>
    <row r="386" spans="1:27" s="632" customFormat="1" ht="22.5" hidden="1" customHeight="1" thickTop="1" thickBot="1" x14ac:dyDescent="0.3">
      <c r="A386" s="626">
        <v>1</v>
      </c>
      <c r="B386" s="449" t="s">
        <v>1343</v>
      </c>
      <c r="C386" s="449" t="s">
        <v>1413</v>
      </c>
      <c r="D386" s="449" t="s">
        <v>1361</v>
      </c>
      <c r="E386" s="449" t="s">
        <v>1345</v>
      </c>
      <c r="F386" s="449" t="s">
        <v>2138</v>
      </c>
      <c r="G386" s="449"/>
      <c r="H386" s="449"/>
      <c r="I386" s="449"/>
      <c r="J386" s="449"/>
      <c r="K386" s="627" t="s">
        <v>1884</v>
      </c>
      <c r="L386" s="628">
        <f>+L387+L388</f>
        <v>0</v>
      </c>
      <c r="M386" s="628">
        <f t="shared" ref="M386:U386" si="131">+M387+M388</f>
        <v>0</v>
      </c>
      <c r="N386" s="628">
        <f t="shared" si="131"/>
        <v>0</v>
      </c>
      <c r="O386" s="628">
        <f t="shared" si="131"/>
        <v>0</v>
      </c>
      <c r="P386" s="628">
        <f t="shared" si="131"/>
        <v>0</v>
      </c>
      <c r="Q386" s="628">
        <f t="shared" si="131"/>
        <v>0</v>
      </c>
      <c r="R386" s="628">
        <f t="shared" si="131"/>
        <v>0</v>
      </c>
      <c r="S386" s="628">
        <f t="shared" si="131"/>
        <v>0</v>
      </c>
      <c r="T386" s="628">
        <f t="shared" si="131"/>
        <v>0</v>
      </c>
      <c r="U386" s="628">
        <f t="shared" si="131"/>
        <v>0</v>
      </c>
      <c r="V386" s="629" t="e">
        <f t="shared" si="117"/>
        <v>#DIV/0!</v>
      </c>
      <c r="W386" s="630"/>
      <c r="X386" s="632" t="e">
        <f t="shared" si="116"/>
        <v>#DIV/0!</v>
      </c>
      <c r="Y386" s="632" t="e">
        <f t="shared" si="116"/>
        <v>#DIV/0!</v>
      </c>
      <c r="Z386" s="632" t="e">
        <f t="shared" si="116"/>
        <v>#DIV/0!</v>
      </c>
      <c r="AA386" s="632" t="e">
        <f t="shared" si="115"/>
        <v>#DIV/0!</v>
      </c>
    </row>
    <row r="387" spans="1:27" ht="22.5" hidden="1" customHeight="1" thickTop="1" thickBot="1" x14ac:dyDescent="0.3">
      <c r="A387" s="451">
        <v>1</v>
      </c>
      <c r="B387" s="450" t="s">
        <v>1343</v>
      </c>
      <c r="C387" s="450" t="s">
        <v>1413</v>
      </c>
      <c r="D387" s="450" t="s">
        <v>1361</v>
      </c>
      <c r="E387" s="450" t="s">
        <v>1345</v>
      </c>
      <c r="F387" s="450" t="s">
        <v>2138</v>
      </c>
      <c r="G387" s="450" t="s">
        <v>1345</v>
      </c>
      <c r="H387" s="450"/>
      <c r="I387" s="450"/>
      <c r="J387" s="450"/>
      <c r="K387" s="647" t="s">
        <v>2394</v>
      </c>
      <c r="L387" s="641"/>
      <c r="M387" s="641"/>
      <c r="N387" s="641"/>
      <c r="O387" s="641">
        <f>+L387+M387-N387</f>
        <v>0</v>
      </c>
      <c r="P387" s="641"/>
      <c r="Q387" s="641"/>
      <c r="R387" s="641"/>
      <c r="S387" s="641"/>
      <c r="T387" s="641"/>
      <c r="U387" s="641"/>
      <c r="V387" s="648" t="e">
        <f t="shared" si="117"/>
        <v>#DIV/0!</v>
      </c>
      <c r="W387" s="644"/>
      <c r="X387" s="584" t="e">
        <f t="shared" si="116"/>
        <v>#DIV/0!</v>
      </c>
      <c r="Y387" s="584" t="e">
        <f t="shared" si="116"/>
        <v>#DIV/0!</v>
      </c>
      <c r="Z387" s="584" t="e">
        <f t="shared" si="116"/>
        <v>#DIV/0!</v>
      </c>
      <c r="AA387" s="584" t="e">
        <f t="shared" si="115"/>
        <v>#DIV/0!</v>
      </c>
    </row>
    <row r="388" spans="1:27" ht="22.5" hidden="1" customHeight="1" thickTop="1" thickBot="1" x14ac:dyDescent="0.3">
      <c r="A388" s="451">
        <v>1</v>
      </c>
      <c r="B388" s="450" t="s">
        <v>1343</v>
      </c>
      <c r="C388" s="450" t="s">
        <v>1413</v>
      </c>
      <c r="D388" s="450" t="s">
        <v>1361</v>
      </c>
      <c r="E388" s="450" t="s">
        <v>1345</v>
      </c>
      <c r="F388" s="450" t="s">
        <v>2138</v>
      </c>
      <c r="G388" s="450" t="s">
        <v>1350</v>
      </c>
      <c r="H388" s="450"/>
      <c r="I388" s="450"/>
      <c r="J388" s="450"/>
      <c r="K388" s="647" t="s">
        <v>2395</v>
      </c>
      <c r="L388" s="641"/>
      <c r="M388" s="641"/>
      <c r="N388" s="641"/>
      <c r="O388" s="641">
        <f>+L388+M388-N388</f>
        <v>0</v>
      </c>
      <c r="P388" s="641"/>
      <c r="Q388" s="641"/>
      <c r="R388" s="641"/>
      <c r="S388" s="641"/>
      <c r="T388" s="641"/>
      <c r="U388" s="641"/>
      <c r="V388" s="648" t="e">
        <f t="shared" si="117"/>
        <v>#DIV/0!</v>
      </c>
      <c r="W388" s="644"/>
      <c r="X388" s="584" t="e">
        <f t="shared" si="116"/>
        <v>#DIV/0!</v>
      </c>
      <c r="Y388" s="584" t="e">
        <f t="shared" si="116"/>
        <v>#DIV/0!</v>
      </c>
      <c r="Z388" s="584" t="e">
        <f t="shared" si="116"/>
        <v>#DIV/0!</v>
      </c>
      <c r="AA388" s="584" t="e">
        <f t="shared" si="115"/>
        <v>#DIV/0!</v>
      </c>
    </row>
    <row r="389" spans="1:27" s="632" customFormat="1" ht="22.5" hidden="1" customHeight="1" thickTop="1" thickBot="1" x14ac:dyDescent="0.3">
      <c r="A389" s="626">
        <v>1</v>
      </c>
      <c r="B389" s="449" t="s">
        <v>1343</v>
      </c>
      <c r="C389" s="449" t="s">
        <v>1413</v>
      </c>
      <c r="D389" s="449" t="s">
        <v>1361</v>
      </c>
      <c r="E389" s="449" t="s">
        <v>1345</v>
      </c>
      <c r="F389" s="449" t="s">
        <v>2160</v>
      </c>
      <c r="G389" s="449"/>
      <c r="H389" s="449"/>
      <c r="I389" s="449"/>
      <c r="J389" s="449"/>
      <c r="K389" s="627" t="s">
        <v>1885</v>
      </c>
      <c r="L389" s="628">
        <f>+L390+L391</f>
        <v>0</v>
      </c>
      <c r="M389" s="628">
        <f t="shared" ref="M389:U389" si="132">+M390+M391</f>
        <v>0</v>
      </c>
      <c r="N389" s="628">
        <f t="shared" si="132"/>
        <v>0</v>
      </c>
      <c r="O389" s="628">
        <f t="shared" si="132"/>
        <v>0</v>
      </c>
      <c r="P389" s="628">
        <f t="shared" si="132"/>
        <v>0</v>
      </c>
      <c r="Q389" s="628">
        <f t="shared" si="132"/>
        <v>0</v>
      </c>
      <c r="R389" s="628">
        <f t="shared" si="132"/>
        <v>0</v>
      </c>
      <c r="S389" s="628">
        <f t="shared" si="132"/>
        <v>0</v>
      </c>
      <c r="T389" s="628">
        <f t="shared" si="132"/>
        <v>0</v>
      </c>
      <c r="U389" s="628">
        <f t="shared" si="132"/>
        <v>0</v>
      </c>
      <c r="V389" s="629" t="e">
        <f t="shared" si="117"/>
        <v>#DIV/0!</v>
      </c>
      <c r="W389" s="630"/>
      <c r="X389" s="632" t="e">
        <f t="shared" si="116"/>
        <v>#DIV/0!</v>
      </c>
      <c r="Y389" s="632" t="e">
        <f t="shared" si="116"/>
        <v>#DIV/0!</v>
      </c>
      <c r="Z389" s="632" t="e">
        <f t="shared" si="116"/>
        <v>#DIV/0!</v>
      </c>
      <c r="AA389" s="632" t="e">
        <f t="shared" si="115"/>
        <v>#DIV/0!</v>
      </c>
    </row>
    <row r="390" spans="1:27" ht="22.5" hidden="1" customHeight="1" thickTop="1" thickBot="1" x14ac:dyDescent="0.3">
      <c r="A390" s="451">
        <v>1</v>
      </c>
      <c r="B390" s="450" t="s">
        <v>1343</v>
      </c>
      <c r="C390" s="450" t="s">
        <v>1413</v>
      </c>
      <c r="D390" s="450" t="s">
        <v>1361</v>
      </c>
      <c r="E390" s="450" t="s">
        <v>1345</v>
      </c>
      <c r="F390" s="450" t="s">
        <v>2160</v>
      </c>
      <c r="G390" s="450" t="s">
        <v>1345</v>
      </c>
      <c r="H390" s="450"/>
      <c r="I390" s="450"/>
      <c r="J390" s="450"/>
      <c r="K390" s="647" t="s">
        <v>2394</v>
      </c>
      <c r="L390" s="641"/>
      <c r="M390" s="641"/>
      <c r="N390" s="641"/>
      <c r="O390" s="641">
        <f>+L390+M390-N390</f>
        <v>0</v>
      </c>
      <c r="P390" s="641"/>
      <c r="Q390" s="641"/>
      <c r="R390" s="641"/>
      <c r="S390" s="641"/>
      <c r="T390" s="641"/>
      <c r="U390" s="641"/>
      <c r="V390" s="648" t="e">
        <f t="shared" si="117"/>
        <v>#DIV/0!</v>
      </c>
      <c r="W390" s="644"/>
      <c r="X390" s="584" t="e">
        <f t="shared" si="116"/>
        <v>#DIV/0!</v>
      </c>
      <c r="Y390" s="584" t="e">
        <f t="shared" si="116"/>
        <v>#DIV/0!</v>
      </c>
      <c r="Z390" s="584" t="e">
        <f t="shared" si="116"/>
        <v>#DIV/0!</v>
      </c>
      <c r="AA390" s="584" t="e">
        <f t="shared" si="115"/>
        <v>#DIV/0!</v>
      </c>
    </row>
    <row r="391" spans="1:27" ht="22.5" hidden="1" customHeight="1" thickTop="1" thickBot="1" x14ac:dyDescent="0.3">
      <c r="A391" s="451">
        <v>1</v>
      </c>
      <c r="B391" s="450" t="s">
        <v>1343</v>
      </c>
      <c r="C391" s="450" t="s">
        <v>1413</v>
      </c>
      <c r="D391" s="450" t="s">
        <v>1361</v>
      </c>
      <c r="E391" s="450" t="s">
        <v>1345</v>
      </c>
      <c r="F391" s="450" t="s">
        <v>2160</v>
      </c>
      <c r="G391" s="450" t="s">
        <v>1350</v>
      </c>
      <c r="H391" s="450"/>
      <c r="I391" s="450"/>
      <c r="J391" s="450"/>
      <c r="K391" s="647" t="s">
        <v>2395</v>
      </c>
      <c r="L391" s="641"/>
      <c r="M391" s="641"/>
      <c r="N391" s="641"/>
      <c r="O391" s="641">
        <f>+L391+M391-N391</f>
        <v>0</v>
      </c>
      <c r="P391" s="641"/>
      <c r="Q391" s="641"/>
      <c r="R391" s="641"/>
      <c r="S391" s="641"/>
      <c r="T391" s="641"/>
      <c r="U391" s="641"/>
      <c r="V391" s="648" t="e">
        <f t="shared" si="117"/>
        <v>#DIV/0!</v>
      </c>
      <c r="W391" s="644"/>
      <c r="X391" s="584" t="e">
        <f t="shared" si="116"/>
        <v>#DIV/0!</v>
      </c>
      <c r="Y391" s="584" t="e">
        <f t="shared" si="116"/>
        <v>#DIV/0!</v>
      </c>
      <c r="Z391" s="584" t="e">
        <f t="shared" si="116"/>
        <v>#DIV/0!</v>
      </c>
      <c r="AA391" s="584" t="e">
        <f t="shared" si="116"/>
        <v>#DIV/0!</v>
      </c>
    </row>
    <row r="392" spans="1:27" s="632" customFormat="1" ht="22.5" customHeight="1" thickTop="1" thickBot="1" x14ac:dyDescent="0.3">
      <c r="A392" s="626">
        <v>1</v>
      </c>
      <c r="B392" s="449" t="s">
        <v>1343</v>
      </c>
      <c r="C392" s="449" t="s">
        <v>1413</v>
      </c>
      <c r="D392" s="449" t="s">
        <v>1361</v>
      </c>
      <c r="E392" s="449" t="s">
        <v>1345</v>
      </c>
      <c r="F392" s="449" t="s">
        <v>2214</v>
      </c>
      <c r="G392" s="449"/>
      <c r="H392" s="449"/>
      <c r="I392" s="449"/>
      <c r="J392" s="449"/>
      <c r="K392" s="627" t="s">
        <v>1886</v>
      </c>
      <c r="L392" s="628">
        <f>+L393+L394</f>
        <v>516652878</v>
      </c>
      <c r="M392" s="628">
        <f t="shared" ref="M392:U392" si="133">+M393+M394</f>
        <v>78845193</v>
      </c>
      <c r="N392" s="628">
        <f t="shared" si="133"/>
        <v>0</v>
      </c>
      <c r="O392" s="628">
        <f t="shared" si="133"/>
        <v>595498071</v>
      </c>
      <c r="P392" s="628">
        <f t="shared" si="133"/>
        <v>0</v>
      </c>
      <c r="Q392" s="628">
        <f t="shared" si="133"/>
        <v>595498071</v>
      </c>
      <c r="R392" s="628">
        <f t="shared" si="133"/>
        <v>0</v>
      </c>
      <c r="S392" s="628">
        <f t="shared" si="133"/>
        <v>0</v>
      </c>
      <c r="T392" s="628">
        <f t="shared" si="133"/>
        <v>529794920</v>
      </c>
      <c r="U392" s="628">
        <f t="shared" si="133"/>
        <v>608640113</v>
      </c>
      <c r="V392" s="629">
        <f t="shared" si="117"/>
        <v>1.1488221008234658</v>
      </c>
      <c r="W392" s="630"/>
      <c r="X392" s="631">
        <f t="shared" ref="X392:AA455" si="134">+P392/$O392</f>
        <v>0</v>
      </c>
      <c r="Y392" s="631">
        <f t="shared" si="134"/>
        <v>1</v>
      </c>
      <c r="Z392" s="631">
        <f t="shared" si="134"/>
        <v>0</v>
      </c>
      <c r="AA392" s="631">
        <f t="shared" si="134"/>
        <v>0</v>
      </c>
    </row>
    <row r="393" spans="1:27" ht="22.5" customHeight="1" thickTop="1" thickBot="1" x14ac:dyDescent="0.3">
      <c r="A393" s="451">
        <v>1</v>
      </c>
      <c r="B393" s="450" t="s">
        <v>1343</v>
      </c>
      <c r="C393" s="450" t="s">
        <v>1413</v>
      </c>
      <c r="D393" s="450" t="s">
        <v>1361</v>
      </c>
      <c r="E393" s="450" t="s">
        <v>1345</v>
      </c>
      <c r="F393" s="450" t="s">
        <v>2214</v>
      </c>
      <c r="G393" s="450" t="s">
        <v>1345</v>
      </c>
      <c r="H393" s="450"/>
      <c r="I393" s="450"/>
      <c r="J393" s="450"/>
      <c r="K393" s="639" t="s">
        <v>2394</v>
      </c>
      <c r="L393" s="642">
        <v>516652878</v>
      </c>
      <c r="M393" s="642">
        <v>78845193</v>
      </c>
      <c r="N393" s="642">
        <v>0</v>
      </c>
      <c r="O393" s="642">
        <f t="shared" ref="O393:O398" si="135">+L393+M393-N393</f>
        <v>595498071</v>
      </c>
      <c r="P393" s="642"/>
      <c r="Q393" s="642">
        <v>595498071</v>
      </c>
      <c r="R393" s="642"/>
      <c r="S393" s="642"/>
      <c r="T393" s="642">
        <v>529794920</v>
      </c>
      <c r="U393" s="642">
        <v>608640113</v>
      </c>
      <c r="V393" s="643">
        <f t="shared" si="117"/>
        <v>1.1488221008234658</v>
      </c>
      <c r="W393" s="665"/>
      <c r="X393" s="646">
        <f t="shared" si="134"/>
        <v>0</v>
      </c>
      <c r="Y393" s="646">
        <f t="shared" si="134"/>
        <v>1</v>
      </c>
      <c r="Z393" s="646">
        <f t="shared" si="134"/>
        <v>0</v>
      </c>
      <c r="AA393" s="646">
        <f t="shared" si="134"/>
        <v>0</v>
      </c>
    </row>
    <row r="394" spans="1:27" ht="22.5" hidden="1" customHeight="1" thickTop="1" thickBot="1" x14ac:dyDescent="0.3">
      <c r="A394" s="451">
        <v>1</v>
      </c>
      <c r="B394" s="450" t="s">
        <v>1343</v>
      </c>
      <c r="C394" s="450" t="s">
        <v>1413</v>
      </c>
      <c r="D394" s="450" t="s">
        <v>1361</v>
      </c>
      <c r="E394" s="450" t="s">
        <v>1345</v>
      </c>
      <c r="F394" s="450" t="s">
        <v>2214</v>
      </c>
      <c r="G394" s="450" t="s">
        <v>1350</v>
      </c>
      <c r="H394" s="450"/>
      <c r="I394" s="450"/>
      <c r="J394" s="450"/>
      <c r="K394" s="647" t="s">
        <v>2395</v>
      </c>
      <c r="L394" s="641"/>
      <c r="M394" s="641"/>
      <c r="N394" s="641"/>
      <c r="O394" s="641">
        <f t="shared" si="135"/>
        <v>0</v>
      </c>
      <c r="P394" s="641"/>
      <c r="Q394" s="641"/>
      <c r="R394" s="641"/>
      <c r="S394" s="641"/>
      <c r="T394" s="641"/>
      <c r="U394" s="641"/>
      <c r="V394" s="648" t="e">
        <f t="shared" si="117"/>
        <v>#DIV/0!</v>
      </c>
      <c r="W394" s="644"/>
      <c r="X394" s="584" t="e">
        <f t="shared" si="134"/>
        <v>#DIV/0!</v>
      </c>
      <c r="Y394" s="584" t="e">
        <f t="shared" si="134"/>
        <v>#DIV/0!</v>
      </c>
      <c r="Z394" s="584" t="e">
        <f t="shared" si="134"/>
        <v>#DIV/0!</v>
      </c>
      <c r="AA394" s="584" t="e">
        <f t="shared" si="134"/>
        <v>#DIV/0!</v>
      </c>
    </row>
    <row r="395" spans="1:27" s="625" customFormat="1" ht="22.5" hidden="1" customHeight="1" thickTop="1" thickBot="1" x14ac:dyDescent="0.3">
      <c r="A395" s="618">
        <v>1</v>
      </c>
      <c r="B395" s="619" t="s">
        <v>1343</v>
      </c>
      <c r="C395" s="619" t="s">
        <v>1413</v>
      </c>
      <c r="D395" s="619" t="s">
        <v>1361</v>
      </c>
      <c r="E395" s="619" t="s">
        <v>1350</v>
      </c>
      <c r="F395" s="619"/>
      <c r="G395" s="619"/>
      <c r="H395" s="619"/>
      <c r="I395" s="619"/>
      <c r="J395" s="619"/>
      <c r="K395" s="620" t="s">
        <v>1400</v>
      </c>
      <c r="L395" s="621"/>
      <c r="M395" s="621"/>
      <c r="N395" s="621"/>
      <c r="O395" s="621">
        <f t="shared" si="135"/>
        <v>0</v>
      </c>
      <c r="P395" s="621"/>
      <c r="Q395" s="621"/>
      <c r="R395" s="621"/>
      <c r="S395" s="621"/>
      <c r="T395" s="621"/>
      <c r="U395" s="621"/>
      <c r="V395" s="622" t="e">
        <f t="shared" si="117"/>
        <v>#DIV/0!</v>
      </c>
      <c r="W395" s="623"/>
      <c r="X395" s="625" t="e">
        <f t="shared" si="134"/>
        <v>#DIV/0!</v>
      </c>
      <c r="Y395" s="625" t="e">
        <f t="shared" si="134"/>
        <v>#DIV/0!</v>
      </c>
      <c r="Z395" s="625" t="e">
        <f t="shared" si="134"/>
        <v>#DIV/0!</v>
      </c>
      <c r="AA395" s="625" t="e">
        <f t="shared" si="134"/>
        <v>#DIV/0!</v>
      </c>
    </row>
    <row r="396" spans="1:27" s="625" customFormat="1" ht="22.5" hidden="1" customHeight="1" thickTop="1" thickBot="1" x14ac:dyDescent="0.3">
      <c r="A396" s="618">
        <v>1</v>
      </c>
      <c r="B396" s="619" t="s">
        <v>1343</v>
      </c>
      <c r="C396" s="619" t="s">
        <v>1413</v>
      </c>
      <c r="D396" s="619" t="s">
        <v>1361</v>
      </c>
      <c r="E396" s="619" t="s">
        <v>1354</v>
      </c>
      <c r="F396" s="619"/>
      <c r="G396" s="619"/>
      <c r="H396" s="619"/>
      <c r="I396" s="619"/>
      <c r="J396" s="619"/>
      <c r="K396" s="620" t="s">
        <v>1887</v>
      </c>
      <c r="L396" s="621">
        <f>+L397+L398</f>
        <v>0</v>
      </c>
      <c r="M396" s="621">
        <f t="shared" ref="M396:U396" si="136">+M397+M398</f>
        <v>0</v>
      </c>
      <c r="N396" s="621">
        <f t="shared" si="136"/>
        <v>0</v>
      </c>
      <c r="O396" s="621">
        <f t="shared" si="135"/>
        <v>0</v>
      </c>
      <c r="P396" s="621">
        <f t="shared" si="136"/>
        <v>0</v>
      </c>
      <c r="Q396" s="621">
        <f t="shared" si="136"/>
        <v>0</v>
      </c>
      <c r="R396" s="621">
        <f t="shared" si="136"/>
        <v>0</v>
      </c>
      <c r="S396" s="621">
        <f t="shared" si="136"/>
        <v>0</v>
      </c>
      <c r="T396" s="621">
        <f t="shared" si="136"/>
        <v>0</v>
      </c>
      <c r="U396" s="621">
        <f t="shared" si="136"/>
        <v>0</v>
      </c>
      <c r="V396" s="622" t="e">
        <f t="shared" si="117"/>
        <v>#DIV/0!</v>
      </c>
      <c r="W396" s="623"/>
      <c r="X396" s="625" t="e">
        <f t="shared" si="134"/>
        <v>#DIV/0!</v>
      </c>
      <c r="Y396" s="625" t="e">
        <f t="shared" si="134"/>
        <v>#DIV/0!</v>
      </c>
      <c r="Z396" s="625" t="e">
        <f t="shared" si="134"/>
        <v>#DIV/0!</v>
      </c>
      <c r="AA396" s="625" t="e">
        <f t="shared" si="134"/>
        <v>#DIV/0!</v>
      </c>
    </row>
    <row r="397" spans="1:27" ht="22.5" hidden="1" customHeight="1" thickTop="1" thickBot="1" x14ac:dyDescent="0.3">
      <c r="A397" s="451">
        <v>1</v>
      </c>
      <c r="B397" s="450" t="s">
        <v>1343</v>
      </c>
      <c r="C397" s="450" t="s">
        <v>1413</v>
      </c>
      <c r="D397" s="450" t="s">
        <v>1361</v>
      </c>
      <c r="E397" s="450" t="s">
        <v>1354</v>
      </c>
      <c r="F397" s="450" t="s">
        <v>2138</v>
      </c>
      <c r="G397" s="450"/>
      <c r="H397" s="450"/>
      <c r="I397" s="450"/>
      <c r="J397" s="450"/>
      <c r="K397" s="647" t="s">
        <v>1888</v>
      </c>
      <c r="L397" s="641"/>
      <c r="M397" s="641"/>
      <c r="N397" s="641"/>
      <c r="O397" s="641">
        <f t="shared" si="135"/>
        <v>0</v>
      </c>
      <c r="P397" s="641"/>
      <c r="Q397" s="641"/>
      <c r="R397" s="641"/>
      <c r="S397" s="641"/>
      <c r="T397" s="641"/>
      <c r="U397" s="641"/>
      <c r="V397" s="648" t="e">
        <f t="shared" si="117"/>
        <v>#DIV/0!</v>
      </c>
      <c r="W397" s="644"/>
      <c r="X397" s="584" t="e">
        <f t="shared" si="134"/>
        <v>#DIV/0!</v>
      </c>
      <c r="Y397" s="584" t="e">
        <f t="shared" si="134"/>
        <v>#DIV/0!</v>
      </c>
      <c r="Z397" s="584" t="e">
        <f t="shared" si="134"/>
        <v>#DIV/0!</v>
      </c>
      <c r="AA397" s="584" t="e">
        <f t="shared" si="134"/>
        <v>#DIV/0!</v>
      </c>
    </row>
    <row r="398" spans="1:27" ht="22.5" hidden="1" customHeight="1" thickTop="1" thickBot="1" x14ac:dyDescent="0.3">
      <c r="A398" s="451">
        <v>1</v>
      </c>
      <c r="B398" s="450" t="s">
        <v>1343</v>
      </c>
      <c r="C398" s="450" t="s">
        <v>1413</v>
      </c>
      <c r="D398" s="450" t="s">
        <v>1361</v>
      </c>
      <c r="E398" s="450" t="s">
        <v>1354</v>
      </c>
      <c r="F398" s="450" t="s">
        <v>2160</v>
      </c>
      <c r="G398" s="450"/>
      <c r="H398" s="450"/>
      <c r="I398" s="450"/>
      <c r="J398" s="450"/>
      <c r="K398" s="647" t="s">
        <v>1889</v>
      </c>
      <c r="L398" s="641"/>
      <c r="M398" s="641"/>
      <c r="N398" s="641"/>
      <c r="O398" s="641">
        <f t="shared" si="135"/>
        <v>0</v>
      </c>
      <c r="P398" s="641"/>
      <c r="Q398" s="641"/>
      <c r="R398" s="641"/>
      <c r="S398" s="641"/>
      <c r="T398" s="641"/>
      <c r="U398" s="641"/>
      <c r="V398" s="648" t="e">
        <f t="shared" ref="V398:V461" si="137">+U398/T398</f>
        <v>#DIV/0!</v>
      </c>
      <c r="W398" s="644"/>
      <c r="X398" s="584" t="e">
        <f t="shared" si="134"/>
        <v>#DIV/0!</v>
      </c>
      <c r="Y398" s="584" t="e">
        <f t="shared" si="134"/>
        <v>#DIV/0!</v>
      </c>
      <c r="Z398" s="584" t="e">
        <f t="shared" si="134"/>
        <v>#DIV/0!</v>
      </c>
      <c r="AA398" s="584" t="e">
        <f t="shared" si="134"/>
        <v>#DIV/0!</v>
      </c>
    </row>
    <row r="399" spans="1:27" s="625" customFormat="1" ht="22.5" hidden="1" customHeight="1" thickTop="1" thickBot="1" x14ac:dyDescent="0.3">
      <c r="A399" s="618">
        <v>1</v>
      </c>
      <c r="B399" s="619" t="s">
        <v>1343</v>
      </c>
      <c r="C399" s="619" t="s">
        <v>1413</v>
      </c>
      <c r="D399" s="619" t="s">
        <v>1361</v>
      </c>
      <c r="E399" s="619" t="s">
        <v>1359</v>
      </c>
      <c r="F399" s="619"/>
      <c r="G399" s="619"/>
      <c r="H399" s="619"/>
      <c r="I399" s="619"/>
      <c r="J399" s="619"/>
      <c r="K399" s="620" t="s">
        <v>2396</v>
      </c>
      <c r="L399" s="621">
        <f>+L400+L401</f>
        <v>0</v>
      </c>
      <c r="M399" s="621">
        <f t="shared" ref="M399:U399" si="138">+M400+M401</f>
        <v>0</v>
      </c>
      <c r="N399" s="621">
        <f t="shared" si="138"/>
        <v>0</v>
      </c>
      <c r="O399" s="621">
        <f t="shared" si="138"/>
        <v>0</v>
      </c>
      <c r="P399" s="621">
        <f t="shared" si="138"/>
        <v>0</v>
      </c>
      <c r="Q399" s="621">
        <f t="shared" si="138"/>
        <v>0</v>
      </c>
      <c r="R399" s="621">
        <f t="shared" si="138"/>
        <v>0</v>
      </c>
      <c r="S399" s="621">
        <f t="shared" si="138"/>
        <v>0</v>
      </c>
      <c r="T399" s="621">
        <f t="shared" si="138"/>
        <v>0</v>
      </c>
      <c r="U399" s="621">
        <f t="shared" si="138"/>
        <v>0</v>
      </c>
      <c r="V399" s="622" t="e">
        <f t="shared" si="137"/>
        <v>#DIV/0!</v>
      </c>
      <c r="W399" s="623"/>
      <c r="X399" s="625" t="e">
        <f t="shared" si="134"/>
        <v>#DIV/0!</v>
      </c>
      <c r="Y399" s="625" t="e">
        <f t="shared" si="134"/>
        <v>#DIV/0!</v>
      </c>
      <c r="Z399" s="625" t="e">
        <f t="shared" si="134"/>
        <v>#DIV/0!</v>
      </c>
      <c r="AA399" s="625" t="e">
        <f t="shared" si="134"/>
        <v>#DIV/0!</v>
      </c>
    </row>
    <row r="400" spans="1:27" ht="22.5" hidden="1" customHeight="1" thickTop="1" thickBot="1" x14ac:dyDescent="0.3">
      <c r="A400" s="451">
        <v>1</v>
      </c>
      <c r="B400" s="450" t="s">
        <v>1343</v>
      </c>
      <c r="C400" s="450" t="s">
        <v>1413</v>
      </c>
      <c r="D400" s="450" t="s">
        <v>1361</v>
      </c>
      <c r="E400" s="450" t="s">
        <v>1359</v>
      </c>
      <c r="F400" s="450" t="s">
        <v>2138</v>
      </c>
      <c r="G400" s="450"/>
      <c r="H400" s="450"/>
      <c r="I400" s="450"/>
      <c r="J400" s="450"/>
      <c r="K400" s="647" t="s">
        <v>2397</v>
      </c>
      <c r="L400" s="641"/>
      <c r="M400" s="641"/>
      <c r="N400" s="641"/>
      <c r="O400" s="641">
        <f>+L400+M400-N400</f>
        <v>0</v>
      </c>
      <c r="P400" s="641"/>
      <c r="Q400" s="641">
        <f>+O400</f>
        <v>0</v>
      </c>
      <c r="R400" s="641"/>
      <c r="S400" s="641"/>
      <c r="T400" s="641"/>
      <c r="U400" s="641"/>
      <c r="V400" s="648" t="e">
        <f t="shared" si="137"/>
        <v>#DIV/0!</v>
      </c>
      <c r="W400" s="644"/>
      <c r="X400" s="584" t="e">
        <f t="shared" si="134"/>
        <v>#DIV/0!</v>
      </c>
      <c r="Y400" s="584" t="e">
        <f t="shared" si="134"/>
        <v>#DIV/0!</v>
      </c>
      <c r="Z400" s="584" t="e">
        <f t="shared" si="134"/>
        <v>#DIV/0!</v>
      </c>
      <c r="AA400" s="584" t="e">
        <f t="shared" si="134"/>
        <v>#DIV/0!</v>
      </c>
    </row>
    <row r="401" spans="1:27" ht="22.5" hidden="1" customHeight="1" thickTop="1" thickBot="1" x14ac:dyDescent="0.3">
      <c r="A401" s="451">
        <v>1</v>
      </c>
      <c r="B401" s="450" t="s">
        <v>1343</v>
      </c>
      <c r="C401" s="450" t="s">
        <v>1413</v>
      </c>
      <c r="D401" s="450" t="s">
        <v>1361</v>
      </c>
      <c r="E401" s="450" t="s">
        <v>1359</v>
      </c>
      <c r="F401" s="450" t="s">
        <v>2160</v>
      </c>
      <c r="G401" s="450"/>
      <c r="H401" s="450"/>
      <c r="I401" s="450"/>
      <c r="J401" s="450"/>
      <c r="K401" s="647" t="s">
        <v>2398</v>
      </c>
      <c r="L401" s="641"/>
      <c r="M401" s="641"/>
      <c r="N401" s="641"/>
      <c r="O401" s="641">
        <f>+L401+M401-N401</f>
        <v>0</v>
      </c>
      <c r="P401" s="641"/>
      <c r="Q401" s="641"/>
      <c r="R401" s="641"/>
      <c r="S401" s="641"/>
      <c r="T401" s="641"/>
      <c r="U401" s="641"/>
      <c r="V401" s="648" t="e">
        <f t="shared" si="137"/>
        <v>#DIV/0!</v>
      </c>
      <c r="W401" s="644"/>
      <c r="X401" s="584" t="e">
        <f t="shared" si="134"/>
        <v>#DIV/0!</v>
      </c>
      <c r="Y401" s="584" t="e">
        <f t="shared" si="134"/>
        <v>#DIV/0!</v>
      </c>
      <c r="Z401" s="584" t="e">
        <f t="shared" si="134"/>
        <v>#DIV/0!</v>
      </c>
      <c r="AA401" s="584" t="e">
        <f t="shared" si="134"/>
        <v>#DIV/0!</v>
      </c>
    </row>
    <row r="402" spans="1:27" s="617" customFormat="1" ht="22.5" hidden="1" customHeight="1" thickTop="1" thickBot="1" x14ac:dyDescent="0.3">
      <c r="A402" s="611">
        <v>1</v>
      </c>
      <c r="B402" s="448" t="s">
        <v>1343</v>
      </c>
      <c r="C402" s="448" t="s">
        <v>1413</v>
      </c>
      <c r="D402" s="448" t="s">
        <v>1390</v>
      </c>
      <c r="E402" s="448"/>
      <c r="F402" s="448"/>
      <c r="G402" s="448"/>
      <c r="H402" s="448"/>
      <c r="I402" s="448"/>
      <c r="J402" s="448"/>
      <c r="K402" s="612" t="s">
        <v>2399</v>
      </c>
      <c r="L402" s="613">
        <f>+L403+L404+L405+L406+L407</f>
        <v>0</v>
      </c>
      <c r="M402" s="613">
        <f t="shared" ref="M402:U402" si="139">+M403+M404+M405+M406+M407</f>
        <v>0</v>
      </c>
      <c r="N402" s="613">
        <f t="shared" si="139"/>
        <v>0</v>
      </c>
      <c r="O402" s="613">
        <f t="shared" si="139"/>
        <v>0</v>
      </c>
      <c r="P402" s="613">
        <f t="shared" si="139"/>
        <v>0</v>
      </c>
      <c r="Q402" s="613">
        <f t="shared" si="139"/>
        <v>0</v>
      </c>
      <c r="R402" s="613">
        <f t="shared" si="139"/>
        <v>0</v>
      </c>
      <c r="S402" s="613">
        <f t="shared" si="139"/>
        <v>0</v>
      </c>
      <c r="T402" s="613">
        <f t="shared" si="139"/>
        <v>0</v>
      </c>
      <c r="U402" s="613">
        <f t="shared" si="139"/>
        <v>0</v>
      </c>
      <c r="V402" s="614" t="e">
        <f t="shared" si="137"/>
        <v>#DIV/0!</v>
      </c>
      <c r="W402" s="615"/>
      <c r="X402" s="617" t="e">
        <f t="shared" si="134"/>
        <v>#DIV/0!</v>
      </c>
      <c r="Y402" s="617" t="e">
        <f t="shared" si="134"/>
        <v>#DIV/0!</v>
      </c>
      <c r="Z402" s="617" t="e">
        <f t="shared" si="134"/>
        <v>#DIV/0!</v>
      </c>
      <c r="AA402" s="617" t="e">
        <f t="shared" si="134"/>
        <v>#DIV/0!</v>
      </c>
    </row>
    <row r="403" spans="1:27" ht="22.5" hidden="1" customHeight="1" thickTop="1" thickBot="1" x14ac:dyDescent="0.3">
      <c r="A403" s="451">
        <v>1</v>
      </c>
      <c r="B403" s="450" t="s">
        <v>1343</v>
      </c>
      <c r="C403" s="450" t="s">
        <v>1413</v>
      </c>
      <c r="D403" s="450" t="s">
        <v>1390</v>
      </c>
      <c r="E403" s="450" t="s">
        <v>1345</v>
      </c>
      <c r="F403" s="450"/>
      <c r="G403" s="450"/>
      <c r="H403" s="450"/>
      <c r="I403" s="450"/>
      <c r="J403" s="450"/>
      <c r="K403" s="647" t="s">
        <v>2400</v>
      </c>
      <c r="L403" s="641"/>
      <c r="M403" s="641"/>
      <c r="N403" s="641"/>
      <c r="O403" s="641">
        <f>+L403+M403-N403</f>
        <v>0</v>
      </c>
      <c r="P403" s="641"/>
      <c r="Q403" s="641"/>
      <c r="R403" s="641"/>
      <c r="S403" s="641"/>
      <c r="T403" s="641"/>
      <c r="U403" s="641"/>
      <c r="V403" s="648" t="e">
        <f t="shared" si="137"/>
        <v>#DIV/0!</v>
      </c>
      <c r="W403" s="644"/>
      <c r="X403" s="584" t="e">
        <f t="shared" si="134"/>
        <v>#DIV/0!</v>
      </c>
      <c r="Y403" s="584" t="e">
        <f t="shared" si="134"/>
        <v>#DIV/0!</v>
      </c>
      <c r="Z403" s="584" t="e">
        <f t="shared" si="134"/>
        <v>#DIV/0!</v>
      </c>
      <c r="AA403" s="584" t="e">
        <f t="shared" si="134"/>
        <v>#DIV/0!</v>
      </c>
    </row>
    <row r="404" spans="1:27" ht="22.5" hidden="1" customHeight="1" thickTop="1" thickBot="1" x14ac:dyDescent="0.3">
      <c r="A404" s="451">
        <v>1</v>
      </c>
      <c r="B404" s="450" t="s">
        <v>1343</v>
      </c>
      <c r="C404" s="450" t="s">
        <v>1413</v>
      </c>
      <c r="D404" s="450" t="s">
        <v>1390</v>
      </c>
      <c r="E404" s="450" t="s">
        <v>1350</v>
      </c>
      <c r="F404" s="450"/>
      <c r="G404" s="450"/>
      <c r="H404" s="450"/>
      <c r="I404" s="450"/>
      <c r="J404" s="450"/>
      <c r="K404" s="647" t="s">
        <v>2401</v>
      </c>
      <c r="L404" s="641"/>
      <c r="M404" s="641"/>
      <c r="N404" s="641"/>
      <c r="O404" s="641">
        <f>+L404+M404-N404</f>
        <v>0</v>
      </c>
      <c r="P404" s="641"/>
      <c r="Q404" s="641"/>
      <c r="R404" s="641"/>
      <c r="S404" s="641"/>
      <c r="T404" s="641"/>
      <c r="U404" s="641"/>
      <c r="V404" s="648" t="e">
        <f t="shared" si="137"/>
        <v>#DIV/0!</v>
      </c>
      <c r="W404" s="644"/>
      <c r="X404" s="584" t="e">
        <f t="shared" si="134"/>
        <v>#DIV/0!</v>
      </c>
      <c r="Y404" s="584" t="e">
        <f t="shared" si="134"/>
        <v>#DIV/0!</v>
      </c>
      <c r="Z404" s="584" t="e">
        <f t="shared" si="134"/>
        <v>#DIV/0!</v>
      </c>
      <c r="AA404" s="584" t="e">
        <f t="shared" si="134"/>
        <v>#DIV/0!</v>
      </c>
    </row>
    <row r="405" spans="1:27" ht="22.5" hidden="1" customHeight="1" thickTop="1" thickBot="1" x14ac:dyDescent="0.3">
      <c r="A405" s="451">
        <v>1</v>
      </c>
      <c r="B405" s="450" t="s">
        <v>1343</v>
      </c>
      <c r="C405" s="450" t="s">
        <v>1413</v>
      </c>
      <c r="D405" s="450" t="s">
        <v>1390</v>
      </c>
      <c r="E405" s="450" t="s">
        <v>1354</v>
      </c>
      <c r="F405" s="450"/>
      <c r="G405" s="450"/>
      <c r="H405" s="450"/>
      <c r="I405" s="450"/>
      <c r="J405" s="450"/>
      <c r="K405" s="647" t="s">
        <v>2402</v>
      </c>
      <c r="L405" s="641"/>
      <c r="M405" s="641"/>
      <c r="N405" s="641"/>
      <c r="O405" s="641">
        <f>+L405+M405-N405</f>
        <v>0</v>
      </c>
      <c r="P405" s="641"/>
      <c r="Q405" s="641"/>
      <c r="R405" s="641"/>
      <c r="S405" s="641"/>
      <c r="T405" s="641"/>
      <c r="U405" s="641"/>
      <c r="V405" s="648" t="e">
        <f t="shared" si="137"/>
        <v>#DIV/0!</v>
      </c>
      <c r="W405" s="644"/>
      <c r="X405" s="584" t="e">
        <f t="shared" si="134"/>
        <v>#DIV/0!</v>
      </c>
      <c r="Y405" s="584" t="e">
        <f t="shared" si="134"/>
        <v>#DIV/0!</v>
      </c>
      <c r="Z405" s="584" t="e">
        <f t="shared" si="134"/>
        <v>#DIV/0!</v>
      </c>
      <c r="AA405" s="584" t="e">
        <f t="shared" si="134"/>
        <v>#DIV/0!</v>
      </c>
    </row>
    <row r="406" spans="1:27" ht="22.5" hidden="1" customHeight="1" thickTop="1" thickBot="1" x14ac:dyDescent="0.3">
      <c r="A406" s="451">
        <v>1</v>
      </c>
      <c r="B406" s="450" t="s">
        <v>1343</v>
      </c>
      <c r="C406" s="450" t="s">
        <v>1413</v>
      </c>
      <c r="D406" s="450" t="s">
        <v>1390</v>
      </c>
      <c r="E406" s="450" t="s">
        <v>1355</v>
      </c>
      <c r="F406" s="450"/>
      <c r="G406" s="450"/>
      <c r="H406" s="450"/>
      <c r="I406" s="450"/>
      <c r="J406" s="450"/>
      <c r="K406" s="647" t="s">
        <v>2403</v>
      </c>
      <c r="L406" s="641"/>
      <c r="M406" s="641"/>
      <c r="N406" s="641"/>
      <c r="O406" s="641">
        <f>+L406+M406-N406</f>
        <v>0</v>
      </c>
      <c r="P406" s="641"/>
      <c r="Q406" s="641"/>
      <c r="R406" s="641"/>
      <c r="S406" s="641"/>
      <c r="T406" s="641"/>
      <c r="U406" s="641"/>
      <c r="V406" s="648" t="e">
        <f t="shared" si="137"/>
        <v>#DIV/0!</v>
      </c>
      <c r="W406" s="644"/>
      <c r="X406" s="584" t="e">
        <f t="shared" si="134"/>
        <v>#DIV/0!</v>
      </c>
      <c r="Y406" s="584" t="e">
        <f t="shared" si="134"/>
        <v>#DIV/0!</v>
      </c>
      <c r="Z406" s="584" t="e">
        <f t="shared" si="134"/>
        <v>#DIV/0!</v>
      </c>
      <c r="AA406" s="584" t="e">
        <f t="shared" si="134"/>
        <v>#DIV/0!</v>
      </c>
    </row>
    <row r="407" spans="1:27" ht="22.5" hidden="1" customHeight="1" thickTop="1" thickBot="1" x14ac:dyDescent="0.3">
      <c r="A407" s="451">
        <v>1</v>
      </c>
      <c r="B407" s="450" t="s">
        <v>1343</v>
      </c>
      <c r="C407" s="450" t="s">
        <v>1413</v>
      </c>
      <c r="D407" s="450" t="s">
        <v>1390</v>
      </c>
      <c r="E407" s="450" t="s">
        <v>1358</v>
      </c>
      <c r="F407" s="450"/>
      <c r="G407" s="450"/>
      <c r="H407" s="450"/>
      <c r="I407" s="450"/>
      <c r="J407" s="450"/>
      <c r="K407" s="647" t="s">
        <v>2404</v>
      </c>
      <c r="L407" s="641"/>
      <c r="M407" s="641"/>
      <c r="N407" s="641"/>
      <c r="O407" s="641">
        <f>+L407+M407-N407</f>
        <v>0</v>
      </c>
      <c r="P407" s="641"/>
      <c r="Q407" s="641"/>
      <c r="R407" s="641"/>
      <c r="S407" s="641"/>
      <c r="T407" s="641"/>
      <c r="U407" s="641"/>
      <c r="V407" s="648" t="e">
        <f t="shared" si="137"/>
        <v>#DIV/0!</v>
      </c>
      <c r="W407" s="644"/>
      <c r="X407" s="584" t="e">
        <f t="shared" si="134"/>
        <v>#DIV/0!</v>
      </c>
      <c r="Y407" s="584" t="e">
        <f t="shared" si="134"/>
        <v>#DIV/0!</v>
      </c>
      <c r="Z407" s="584" t="e">
        <f t="shared" si="134"/>
        <v>#DIV/0!</v>
      </c>
      <c r="AA407" s="584" t="e">
        <f t="shared" si="134"/>
        <v>#DIV/0!</v>
      </c>
    </row>
    <row r="408" spans="1:27" s="617" customFormat="1" ht="22.5" hidden="1" customHeight="1" thickTop="1" thickBot="1" x14ac:dyDescent="0.3">
      <c r="A408" s="611">
        <v>1</v>
      </c>
      <c r="B408" s="448" t="s">
        <v>1343</v>
      </c>
      <c r="C408" s="448" t="s">
        <v>1413</v>
      </c>
      <c r="D408" s="448" t="s">
        <v>1391</v>
      </c>
      <c r="E408" s="448"/>
      <c r="F408" s="448"/>
      <c r="G408" s="448"/>
      <c r="H408" s="448"/>
      <c r="I408" s="448"/>
      <c r="J408" s="448"/>
      <c r="K408" s="612" t="s">
        <v>2405</v>
      </c>
      <c r="L408" s="613">
        <f>+L409+L410+L508</f>
        <v>0</v>
      </c>
      <c r="M408" s="613">
        <f t="shared" ref="M408:U408" si="140">+M409+M410</f>
        <v>0</v>
      </c>
      <c r="N408" s="613">
        <f t="shared" si="140"/>
        <v>0</v>
      </c>
      <c r="O408" s="613">
        <f t="shared" si="140"/>
        <v>0</v>
      </c>
      <c r="P408" s="613">
        <f t="shared" si="140"/>
        <v>0</v>
      </c>
      <c r="Q408" s="613">
        <f t="shared" si="140"/>
        <v>0</v>
      </c>
      <c r="R408" s="613">
        <f t="shared" si="140"/>
        <v>0</v>
      </c>
      <c r="S408" s="613">
        <f t="shared" si="140"/>
        <v>0</v>
      </c>
      <c r="T408" s="613">
        <f t="shared" si="140"/>
        <v>0</v>
      </c>
      <c r="U408" s="613">
        <f t="shared" si="140"/>
        <v>0</v>
      </c>
      <c r="V408" s="614" t="e">
        <f t="shared" si="137"/>
        <v>#DIV/0!</v>
      </c>
      <c r="W408" s="615"/>
      <c r="X408" s="617" t="e">
        <f t="shared" si="134"/>
        <v>#DIV/0!</v>
      </c>
      <c r="Y408" s="617" t="e">
        <f t="shared" si="134"/>
        <v>#DIV/0!</v>
      </c>
      <c r="Z408" s="617" t="e">
        <f t="shared" si="134"/>
        <v>#DIV/0!</v>
      </c>
      <c r="AA408" s="617" t="e">
        <f t="shared" si="134"/>
        <v>#DIV/0!</v>
      </c>
    </row>
    <row r="409" spans="1:27" s="625" customFormat="1" ht="22.5" hidden="1" customHeight="1" thickTop="1" thickBot="1" x14ac:dyDescent="0.3">
      <c r="A409" s="618">
        <v>1</v>
      </c>
      <c r="B409" s="619" t="s">
        <v>1343</v>
      </c>
      <c r="C409" s="619" t="s">
        <v>1413</v>
      </c>
      <c r="D409" s="619" t="s">
        <v>1391</v>
      </c>
      <c r="E409" s="619" t="s">
        <v>1345</v>
      </c>
      <c r="F409" s="619"/>
      <c r="G409" s="619"/>
      <c r="H409" s="619"/>
      <c r="I409" s="619"/>
      <c r="J409" s="619"/>
      <c r="K409" s="620" t="s">
        <v>2406</v>
      </c>
      <c r="L409" s="621"/>
      <c r="M409" s="621"/>
      <c r="N409" s="621"/>
      <c r="O409" s="621">
        <f>+L409+M409-N409</f>
        <v>0</v>
      </c>
      <c r="P409" s="621"/>
      <c r="Q409" s="621"/>
      <c r="R409" s="621"/>
      <c r="S409" s="621"/>
      <c r="T409" s="621"/>
      <c r="U409" s="621"/>
      <c r="V409" s="622" t="e">
        <f t="shared" si="137"/>
        <v>#DIV/0!</v>
      </c>
      <c r="W409" s="623"/>
      <c r="X409" s="625" t="e">
        <f t="shared" si="134"/>
        <v>#DIV/0!</v>
      </c>
      <c r="Y409" s="625" t="e">
        <f t="shared" si="134"/>
        <v>#DIV/0!</v>
      </c>
      <c r="Z409" s="625" t="e">
        <f t="shared" si="134"/>
        <v>#DIV/0!</v>
      </c>
      <c r="AA409" s="625" t="e">
        <f t="shared" si="134"/>
        <v>#DIV/0!</v>
      </c>
    </row>
    <row r="410" spans="1:27" s="625" customFormat="1" ht="22.5" hidden="1" customHeight="1" thickTop="1" thickBot="1" x14ac:dyDescent="0.3">
      <c r="A410" s="618">
        <v>1</v>
      </c>
      <c r="B410" s="619" t="s">
        <v>1343</v>
      </c>
      <c r="C410" s="619" t="s">
        <v>1413</v>
      </c>
      <c r="D410" s="619" t="s">
        <v>1391</v>
      </c>
      <c r="E410" s="619" t="s">
        <v>1350</v>
      </c>
      <c r="F410" s="619"/>
      <c r="G410" s="619"/>
      <c r="H410" s="619"/>
      <c r="I410" s="619"/>
      <c r="J410" s="619"/>
      <c r="K410" s="620" t="s">
        <v>2407</v>
      </c>
      <c r="L410" s="621">
        <f>+L411+L444+L476</f>
        <v>0</v>
      </c>
      <c r="M410" s="621">
        <f>+M411+M444+M476</f>
        <v>0</v>
      </c>
      <c r="N410" s="621">
        <f>+N411+N444+N476</f>
        <v>0</v>
      </c>
      <c r="O410" s="621">
        <f>+O411+O444+O476</f>
        <v>0</v>
      </c>
      <c r="P410" s="621"/>
      <c r="Q410" s="621"/>
      <c r="R410" s="621"/>
      <c r="S410" s="621"/>
      <c r="T410" s="621"/>
      <c r="U410" s="621"/>
      <c r="V410" s="622" t="e">
        <f t="shared" si="137"/>
        <v>#DIV/0!</v>
      </c>
      <c r="W410" s="623"/>
      <c r="X410" s="625" t="e">
        <f t="shared" si="134"/>
        <v>#DIV/0!</v>
      </c>
      <c r="Y410" s="625" t="e">
        <f t="shared" si="134"/>
        <v>#DIV/0!</v>
      </c>
      <c r="Z410" s="625" t="e">
        <f t="shared" si="134"/>
        <v>#DIV/0!</v>
      </c>
      <c r="AA410" s="625" t="e">
        <f t="shared" si="134"/>
        <v>#DIV/0!</v>
      </c>
    </row>
    <row r="411" spans="1:27" s="663" customFormat="1" ht="22.5" hidden="1" customHeight="1" thickTop="1" thickBot="1" x14ac:dyDescent="0.3">
      <c r="A411" s="655">
        <v>1</v>
      </c>
      <c r="B411" s="656" t="s">
        <v>1343</v>
      </c>
      <c r="C411" s="656" t="s">
        <v>1413</v>
      </c>
      <c r="D411" s="656" t="s">
        <v>1391</v>
      </c>
      <c r="E411" s="656" t="s">
        <v>1350</v>
      </c>
      <c r="F411" s="656" t="s">
        <v>1345</v>
      </c>
      <c r="G411" s="656"/>
      <c r="H411" s="656"/>
      <c r="I411" s="656"/>
      <c r="J411" s="656"/>
      <c r="K411" s="658" t="s">
        <v>2408</v>
      </c>
      <c r="L411" s="659">
        <f>SUM(L412:L443)</f>
        <v>0</v>
      </c>
      <c r="M411" s="659">
        <f t="shared" ref="M411:U411" si="141">SUM(M412:M443)</f>
        <v>0</v>
      </c>
      <c r="N411" s="659">
        <f t="shared" si="141"/>
        <v>0</v>
      </c>
      <c r="O411" s="659">
        <f t="shared" si="141"/>
        <v>0</v>
      </c>
      <c r="P411" s="659">
        <f t="shared" si="141"/>
        <v>0</v>
      </c>
      <c r="Q411" s="659">
        <f t="shared" si="141"/>
        <v>0</v>
      </c>
      <c r="R411" s="659">
        <f t="shared" si="141"/>
        <v>0</v>
      </c>
      <c r="S411" s="659">
        <f t="shared" si="141"/>
        <v>0</v>
      </c>
      <c r="T411" s="659">
        <f t="shared" si="141"/>
        <v>0</v>
      </c>
      <c r="U411" s="659">
        <f t="shared" si="141"/>
        <v>0</v>
      </c>
      <c r="V411" s="660" t="e">
        <f t="shared" si="137"/>
        <v>#DIV/0!</v>
      </c>
      <c r="W411" s="661"/>
      <c r="X411" s="663" t="e">
        <f t="shared" si="134"/>
        <v>#DIV/0!</v>
      </c>
      <c r="Y411" s="663" t="e">
        <f t="shared" si="134"/>
        <v>#DIV/0!</v>
      </c>
      <c r="Z411" s="663" t="e">
        <f t="shared" si="134"/>
        <v>#DIV/0!</v>
      </c>
      <c r="AA411" s="663" t="e">
        <f t="shared" si="134"/>
        <v>#DIV/0!</v>
      </c>
    </row>
    <row r="412" spans="1:27" ht="22.5" hidden="1" customHeight="1" thickTop="1" thickBot="1" x14ac:dyDescent="0.3">
      <c r="A412" s="451">
        <v>1</v>
      </c>
      <c r="B412" s="450" t="s">
        <v>1343</v>
      </c>
      <c r="C412" s="450" t="s">
        <v>1413</v>
      </c>
      <c r="D412" s="450" t="s">
        <v>1391</v>
      </c>
      <c r="E412" s="450" t="s">
        <v>1350</v>
      </c>
      <c r="F412" s="450" t="s">
        <v>1345</v>
      </c>
      <c r="G412" s="450" t="s">
        <v>1345</v>
      </c>
      <c r="H412" s="450"/>
      <c r="I412" s="450"/>
      <c r="J412" s="450"/>
      <c r="K412" s="647" t="s">
        <v>2409</v>
      </c>
      <c r="L412" s="641"/>
      <c r="M412" s="641"/>
      <c r="N412" s="641"/>
      <c r="O412" s="641">
        <f t="shared" ref="O412:O443" si="142">+L412+M412-N412</f>
        <v>0</v>
      </c>
      <c r="P412" s="641"/>
      <c r="Q412" s="641"/>
      <c r="R412" s="641"/>
      <c r="S412" s="641"/>
      <c r="T412" s="641"/>
      <c r="U412" s="641"/>
      <c r="V412" s="648" t="e">
        <f t="shared" si="137"/>
        <v>#DIV/0!</v>
      </c>
      <c r="W412" s="644"/>
      <c r="X412" s="584" t="e">
        <f t="shared" si="134"/>
        <v>#DIV/0!</v>
      </c>
      <c r="Y412" s="584" t="e">
        <f t="shared" si="134"/>
        <v>#DIV/0!</v>
      </c>
      <c r="Z412" s="584" t="e">
        <f t="shared" si="134"/>
        <v>#DIV/0!</v>
      </c>
      <c r="AA412" s="584" t="e">
        <f t="shared" si="134"/>
        <v>#DIV/0!</v>
      </c>
    </row>
    <row r="413" spans="1:27" ht="22.5" hidden="1" customHeight="1" thickTop="1" thickBot="1" x14ac:dyDescent="0.3">
      <c r="A413" s="451">
        <v>1</v>
      </c>
      <c r="B413" s="450" t="s">
        <v>1343</v>
      </c>
      <c r="C413" s="450" t="s">
        <v>1413</v>
      </c>
      <c r="D413" s="450" t="s">
        <v>1391</v>
      </c>
      <c r="E413" s="450" t="s">
        <v>1350</v>
      </c>
      <c r="F413" s="450" t="s">
        <v>1345</v>
      </c>
      <c r="G413" s="450" t="s">
        <v>1350</v>
      </c>
      <c r="H413" s="450"/>
      <c r="I413" s="450"/>
      <c r="J413" s="450"/>
      <c r="K413" s="647" t="s">
        <v>2410</v>
      </c>
      <c r="L413" s="641"/>
      <c r="M413" s="641"/>
      <c r="N413" s="641"/>
      <c r="O413" s="641">
        <f t="shared" si="142"/>
        <v>0</v>
      </c>
      <c r="P413" s="641"/>
      <c r="Q413" s="641"/>
      <c r="R413" s="641"/>
      <c r="S413" s="641"/>
      <c r="T413" s="641"/>
      <c r="U413" s="641"/>
      <c r="V413" s="648" t="e">
        <f t="shared" si="137"/>
        <v>#DIV/0!</v>
      </c>
      <c r="W413" s="644"/>
      <c r="X413" s="584" t="e">
        <f t="shared" si="134"/>
        <v>#DIV/0!</v>
      </c>
      <c r="Y413" s="584" t="e">
        <f t="shared" si="134"/>
        <v>#DIV/0!</v>
      </c>
      <c r="Z413" s="584" t="e">
        <f t="shared" si="134"/>
        <v>#DIV/0!</v>
      </c>
      <c r="AA413" s="584" t="e">
        <f t="shared" si="134"/>
        <v>#DIV/0!</v>
      </c>
    </row>
    <row r="414" spans="1:27" ht="22.5" hidden="1" customHeight="1" thickTop="1" thickBot="1" x14ac:dyDescent="0.3">
      <c r="A414" s="451">
        <v>1</v>
      </c>
      <c r="B414" s="450" t="s">
        <v>1343</v>
      </c>
      <c r="C414" s="450" t="s">
        <v>1413</v>
      </c>
      <c r="D414" s="450" t="s">
        <v>1391</v>
      </c>
      <c r="E414" s="450" t="s">
        <v>1350</v>
      </c>
      <c r="F414" s="450" t="s">
        <v>1345</v>
      </c>
      <c r="G414" s="450" t="s">
        <v>1354</v>
      </c>
      <c r="H414" s="450"/>
      <c r="I414" s="450"/>
      <c r="J414" s="450"/>
      <c r="K414" s="647" t="s">
        <v>2411</v>
      </c>
      <c r="L414" s="641"/>
      <c r="M414" s="641"/>
      <c r="N414" s="641"/>
      <c r="O414" s="641">
        <f t="shared" si="142"/>
        <v>0</v>
      </c>
      <c r="P414" s="641"/>
      <c r="Q414" s="641"/>
      <c r="R414" s="641"/>
      <c r="S414" s="641"/>
      <c r="T414" s="641"/>
      <c r="U414" s="641"/>
      <c r="V414" s="648" t="e">
        <f t="shared" si="137"/>
        <v>#DIV/0!</v>
      </c>
      <c r="W414" s="644"/>
      <c r="X414" s="584" t="e">
        <f t="shared" si="134"/>
        <v>#DIV/0!</v>
      </c>
      <c r="Y414" s="584" t="e">
        <f t="shared" si="134"/>
        <v>#DIV/0!</v>
      </c>
      <c r="Z414" s="584" t="e">
        <f t="shared" si="134"/>
        <v>#DIV/0!</v>
      </c>
      <c r="AA414" s="584" t="e">
        <f t="shared" si="134"/>
        <v>#DIV/0!</v>
      </c>
    </row>
    <row r="415" spans="1:27" ht="22.5" hidden="1" customHeight="1" thickTop="1" thickBot="1" x14ac:dyDescent="0.3">
      <c r="A415" s="451">
        <v>1</v>
      </c>
      <c r="B415" s="450" t="s">
        <v>1343</v>
      </c>
      <c r="C415" s="450" t="s">
        <v>1413</v>
      </c>
      <c r="D415" s="450" t="s">
        <v>1391</v>
      </c>
      <c r="E415" s="450" t="s">
        <v>1350</v>
      </c>
      <c r="F415" s="450" t="s">
        <v>1345</v>
      </c>
      <c r="G415" s="450" t="s">
        <v>1355</v>
      </c>
      <c r="H415" s="450"/>
      <c r="I415" s="450"/>
      <c r="J415" s="450"/>
      <c r="K415" s="647" t="s">
        <v>2412</v>
      </c>
      <c r="L415" s="641"/>
      <c r="M415" s="641"/>
      <c r="N415" s="641"/>
      <c r="O415" s="641">
        <f t="shared" si="142"/>
        <v>0</v>
      </c>
      <c r="P415" s="641"/>
      <c r="Q415" s="641"/>
      <c r="R415" s="641"/>
      <c r="S415" s="641"/>
      <c r="T415" s="641"/>
      <c r="U415" s="641"/>
      <c r="V415" s="648" t="e">
        <f t="shared" si="137"/>
        <v>#DIV/0!</v>
      </c>
      <c r="W415" s="644"/>
      <c r="X415" s="584" t="e">
        <f t="shared" si="134"/>
        <v>#DIV/0!</v>
      </c>
      <c r="Y415" s="584" t="e">
        <f t="shared" si="134"/>
        <v>#DIV/0!</v>
      </c>
      <c r="Z415" s="584" t="e">
        <f t="shared" si="134"/>
        <v>#DIV/0!</v>
      </c>
      <c r="AA415" s="584" t="e">
        <f t="shared" si="134"/>
        <v>#DIV/0!</v>
      </c>
    </row>
    <row r="416" spans="1:27" ht="22.5" hidden="1" customHeight="1" thickTop="1" thickBot="1" x14ac:dyDescent="0.3">
      <c r="A416" s="451">
        <v>1</v>
      </c>
      <c r="B416" s="450" t="s">
        <v>1343</v>
      </c>
      <c r="C416" s="450" t="s">
        <v>1413</v>
      </c>
      <c r="D416" s="450" t="s">
        <v>1391</v>
      </c>
      <c r="E416" s="450" t="s">
        <v>1350</v>
      </c>
      <c r="F416" s="450" t="s">
        <v>1345</v>
      </c>
      <c r="G416" s="450" t="s">
        <v>1358</v>
      </c>
      <c r="H416" s="450"/>
      <c r="I416" s="450"/>
      <c r="J416" s="450"/>
      <c r="K416" s="647" t="s">
        <v>2413</v>
      </c>
      <c r="L416" s="641"/>
      <c r="M416" s="641"/>
      <c r="N416" s="641"/>
      <c r="O416" s="641">
        <f t="shared" si="142"/>
        <v>0</v>
      </c>
      <c r="P416" s="641"/>
      <c r="Q416" s="641"/>
      <c r="R416" s="641"/>
      <c r="S416" s="641"/>
      <c r="T416" s="641"/>
      <c r="U416" s="641"/>
      <c r="V416" s="648" t="e">
        <f t="shared" si="137"/>
        <v>#DIV/0!</v>
      </c>
      <c r="W416" s="644"/>
      <c r="X416" s="584" t="e">
        <f t="shared" si="134"/>
        <v>#DIV/0!</v>
      </c>
      <c r="Y416" s="584" t="e">
        <f t="shared" si="134"/>
        <v>#DIV/0!</v>
      </c>
      <c r="Z416" s="584" t="e">
        <f t="shared" si="134"/>
        <v>#DIV/0!</v>
      </c>
      <c r="AA416" s="584" t="e">
        <f t="shared" si="134"/>
        <v>#DIV/0!</v>
      </c>
    </row>
    <row r="417" spans="1:27" ht="22.5" hidden="1" customHeight="1" thickTop="1" thickBot="1" x14ac:dyDescent="0.3">
      <c r="A417" s="451">
        <v>1</v>
      </c>
      <c r="B417" s="450" t="s">
        <v>1343</v>
      </c>
      <c r="C417" s="450" t="s">
        <v>1413</v>
      </c>
      <c r="D417" s="450" t="s">
        <v>1391</v>
      </c>
      <c r="E417" s="450" t="s">
        <v>1350</v>
      </c>
      <c r="F417" s="450" t="s">
        <v>1345</v>
      </c>
      <c r="G417" s="450" t="s">
        <v>1359</v>
      </c>
      <c r="H417" s="450"/>
      <c r="I417" s="450"/>
      <c r="J417" s="450"/>
      <c r="K417" s="647" t="s">
        <v>2414</v>
      </c>
      <c r="L417" s="641"/>
      <c r="M417" s="641"/>
      <c r="N417" s="641"/>
      <c r="O417" s="641">
        <f t="shared" si="142"/>
        <v>0</v>
      </c>
      <c r="P417" s="641"/>
      <c r="Q417" s="641"/>
      <c r="R417" s="641"/>
      <c r="S417" s="641"/>
      <c r="T417" s="641"/>
      <c r="U417" s="641"/>
      <c r="V417" s="648" t="e">
        <f t="shared" si="137"/>
        <v>#DIV/0!</v>
      </c>
      <c r="W417" s="644"/>
      <c r="X417" s="584" t="e">
        <f t="shared" si="134"/>
        <v>#DIV/0!</v>
      </c>
      <c r="Y417" s="584" t="e">
        <f t="shared" si="134"/>
        <v>#DIV/0!</v>
      </c>
      <c r="Z417" s="584" t="e">
        <f t="shared" si="134"/>
        <v>#DIV/0!</v>
      </c>
      <c r="AA417" s="584" t="e">
        <f t="shared" si="134"/>
        <v>#DIV/0!</v>
      </c>
    </row>
    <row r="418" spans="1:27" ht="22.5" hidden="1" customHeight="1" thickTop="1" thickBot="1" x14ac:dyDescent="0.3">
      <c r="A418" s="451">
        <v>1</v>
      </c>
      <c r="B418" s="450" t="s">
        <v>1343</v>
      </c>
      <c r="C418" s="450" t="s">
        <v>1413</v>
      </c>
      <c r="D418" s="450" t="s">
        <v>1391</v>
      </c>
      <c r="E418" s="450" t="s">
        <v>1350</v>
      </c>
      <c r="F418" s="450" t="s">
        <v>1345</v>
      </c>
      <c r="G418" s="450" t="s">
        <v>1360</v>
      </c>
      <c r="H418" s="450"/>
      <c r="I418" s="450"/>
      <c r="J418" s="450"/>
      <c r="K418" s="647" t="s">
        <v>2415</v>
      </c>
      <c r="L418" s="641"/>
      <c r="M418" s="641"/>
      <c r="N418" s="641"/>
      <c r="O418" s="641">
        <f t="shared" si="142"/>
        <v>0</v>
      </c>
      <c r="P418" s="641"/>
      <c r="Q418" s="641"/>
      <c r="R418" s="641"/>
      <c r="S418" s="641"/>
      <c r="T418" s="641"/>
      <c r="U418" s="641"/>
      <c r="V418" s="648" t="e">
        <f t="shared" si="137"/>
        <v>#DIV/0!</v>
      </c>
      <c r="W418" s="644"/>
      <c r="X418" s="584" t="e">
        <f t="shared" si="134"/>
        <v>#DIV/0!</v>
      </c>
      <c r="Y418" s="584" t="e">
        <f t="shared" si="134"/>
        <v>#DIV/0!</v>
      </c>
      <c r="Z418" s="584" t="e">
        <f t="shared" si="134"/>
        <v>#DIV/0!</v>
      </c>
      <c r="AA418" s="584" t="e">
        <f t="shared" si="134"/>
        <v>#DIV/0!</v>
      </c>
    </row>
    <row r="419" spans="1:27" ht="22.5" hidden="1" customHeight="1" thickTop="1" thickBot="1" x14ac:dyDescent="0.3">
      <c r="A419" s="451">
        <v>1</v>
      </c>
      <c r="B419" s="450" t="s">
        <v>1343</v>
      </c>
      <c r="C419" s="450" t="s">
        <v>1413</v>
      </c>
      <c r="D419" s="450" t="s">
        <v>1391</v>
      </c>
      <c r="E419" s="450" t="s">
        <v>1350</v>
      </c>
      <c r="F419" s="450" t="s">
        <v>1345</v>
      </c>
      <c r="G419" s="450" t="s">
        <v>1361</v>
      </c>
      <c r="H419" s="450"/>
      <c r="I419" s="450"/>
      <c r="J419" s="450"/>
      <c r="K419" s="647" t="s">
        <v>2416</v>
      </c>
      <c r="L419" s="641"/>
      <c r="M419" s="641"/>
      <c r="N419" s="641"/>
      <c r="O419" s="641">
        <f t="shared" si="142"/>
        <v>0</v>
      </c>
      <c r="P419" s="641"/>
      <c r="Q419" s="641"/>
      <c r="R419" s="641"/>
      <c r="S419" s="641"/>
      <c r="T419" s="641"/>
      <c r="U419" s="641"/>
      <c r="V419" s="648" t="e">
        <f t="shared" si="137"/>
        <v>#DIV/0!</v>
      </c>
      <c r="W419" s="644"/>
      <c r="X419" s="584" t="e">
        <f t="shared" si="134"/>
        <v>#DIV/0!</v>
      </c>
      <c r="Y419" s="584" t="e">
        <f t="shared" si="134"/>
        <v>#DIV/0!</v>
      </c>
      <c r="Z419" s="584" t="e">
        <f t="shared" si="134"/>
        <v>#DIV/0!</v>
      </c>
      <c r="AA419" s="584" t="e">
        <f t="shared" si="134"/>
        <v>#DIV/0!</v>
      </c>
    </row>
    <row r="420" spans="1:27" ht="22.5" hidden="1" customHeight="1" thickTop="1" thickBot="1" x14ac:dyDescent="0.3">
      <c r="A420" s="451">
        <v>1</v>
      </c>
      <c r="B420" s="450" t="s">
        <v>1343</v>
      </c>
      <c r="C420" s="450" t="s">
        <v>1413</v>
      </c>
      <c r="D420" s="450" t="s">
        <v>1391</v>
      </c>
      <c r="E420" s="450" t="s">
        <v>1350</v>
      </c>
      <c r="F420" s="450" t="s">
        <v>1345</v>
      </c>
      <c r="G420" s="450" t="s">
        <v>1390</v>
      </c>
      <c r="H420" s="450"/>
      <c r="I420" s="450"/>
      <c r="J420" s="450"/>
      <c r="K420" s="647" t="s">
        <v>2417</v>
      </c>
      <c r="L420" s="641"/>
      <c r="M420" s="641"/>
      <c r="N420" s="641"/>
      <c r="O420" s="641">
        <f t="shared" si="142"/>
        <v>0</v>
      </c>
      <c r="P420" s="641"/>
      <c r="Q420" s="641"/>
      <c r="R420" s="641"/>
      <c r="S420" s="641"/>
      <c r="T420" s="641"/>
      <c r="U420" s="641"/>
      <c r="V420" s="648" t="e">
        <f t="shared" si="137"/>
        <v>#DIV/0!</v>
      </c>
      <c r="W420" s="644"/>
      <c r="X420" s="584" t="e">
        <f t="shared" si="134"/>
        <v>#DIV/0!</v>
      </c>
      <c r="Y420" s="584" t="e">
        <f t="shared" si="134"/>
        <v>#DIV/0!</v>
      </c>
      <c r="Z420" s="584" t="e">
        <f t="shared" si="134"/>
        <v>#DIV/0!</v>
      </c>
      <c r="AA420" s="584" t="e">
        <f t="shared" si="134"/>
        <v>#DIV/0!</v>
      </c>
    </row>
    <row r="421" spans="1:27" ht="22.5" hidden="1" customHeight="1" thickTop="1" thickBot="1" x14ac:dyDescent="0.3">
      <c r="A421" s="451">
        <v>1</v>
      </c>
      <c r="B421" s="450" t="s">
        <v>1343</v>
      </c>
      <c r="C421" s="450" t="s">
        <v>1413</v>
      </c>
      <c r="D421" s="450" t="s">
        <v>1391</v>
      </c>
      <c r="E421" s="450" t="s">
        <v>1350</v>
      </c>
      <c r="F421" s="450" t="s">
        <v>1345</v>
      </c>
      <c r="G421" s="450" t="s">
        <v>1391</v>
      </c>
      <c r="H421" s="450"/>
      <c r="I421" s="450"/>
      <c r="J421" s="450"/>
      <c r="K421" s="647" t="s">
        <v>2418</v>
      </c>
      <c r="L421" s="641"/>
      <c r="M421" s="641"/>
      <c r="N421" s="641"/>
      <c r="O421" s="641">
        <f t="shared" si="142"/>
        <v>0</v>
      </c>
      <c r="P421" s="641"/>
      <c r="Q421" s="641"/>
      <c r="R421" s="641"/>
      <c r="S421" s="641"/>
      <c r="T421" s="641"/>
      <c r="U421" s="641"/>
      <c r="V421" s="648" t="e">
        <f t="shared" si="137"/>
        <v>#DIV/0!</v>
      </c>
      <c r="W421" s="644"/>
      <c r="X421" s="584" t="e">
        <f t="shared" si="134"/>
        <v>#DIV/0!</v>
      </c>
      <c r="Y421" s="584" t="e">
        <f t="shared" si="134"/>
        <v>#DIV/0!</v>
      </c>
      <c r="Z421" s="584" t="e">
        <f t="shared" si="134"/>
        <v>#DIV/0!</v>
      </c>
      <c r="AA421" s="584" t="e">
        <f t="shared" si="134"/>
        <v>#DIV/0!</v>
      </c>
    </row>
    <row r="422" spans="1:27" ht="22.5" hidden="1" customHeight="1" thickTop="1" thickBot="1" x14ac:dyDescent="0.3">
      <c r="A422" s="451">
        <v>1</v>
      </c>
      <c r="B422" s="450" t="s">
        <v>1343</v>
      </c>
      <c r="C422" s="450" t="s">
        <v>1413</v>
      </c>
      <c r="D422" s="450" t="s">
        <v>1391</v>
      </c>
      <c r="E422" s="450" t="s">
        <v>1350</v>
      </c>
      <c r="F422" s="450" t="s">
        <v>1345</v>
      </c>
      <c r="G422" s="450" t="s">
        <v>1392</v>
      </c>
      <c r="H422" s="450"/>
      <c r="I422" s="450"/>
      <c r="J422" s="450"/>
      <c r="K422" s="647" t="s">
        <v>2419</v>
      </c>
      <c r="L422" s="641"/>
      <c r="M422" s="641"/>
      <c r="N422" s="641"/>
      <c r="O422" s="641">
        <f t="shared" si="142"/>
        <v>0</v>
      </c>
      <c r="P422" s="641"/>
      <c r="Q422" s="641"/>
      <c r="R422" s="641"/>
      <c r="S422" s="641"/>
      <c r="T422" s="641"/>
      <c r="U422" s="641"/>
      <c r="V422" s="648" t="e">
        <f t="shared" si="137"/>
        <v>#DIV/0!</v>
      </c>
      <c r="W422" s="644"/>
      <c r="X422" s="584" t="e">
        <f t="shared" si="134"/>
        <v>#DIV/0!</v>
      </c>
      <c r="Y422" s="584" t="e">
        <f t="shared" si="134"/>
        <v>#DIV/0!</v>
      </c>
      <c r="Z422" s="584" t="e">
        <f t="shared" si="134"/>
        <v>#DIV/0!</v>
      </c>
      <c r="AA422" s="584" t="e">
        <f t="shared" si="134"/>
        <v>#DIV/0!</v>
      </c>
    </row>
    <row r="423" spans="1:27" ht="22.5" hidden="1" customHeight="1" thickTop="1" thickBot="1" x14ac:dyDescent="0.3">
      <c r="A423" s="451">
        <v>1</v>
      </c>
      <c r="B423" s="450" t="s">
        <v>1343</v>
      </c>
      <c r="C423" s="450" t="s">
        <v>1413</v>
      </c>
      <c r="D423" s="450" t="s">
        <v>1391</v>
      </c>
      <c r="E423" s="450" t="s">
        <v>1350</v>
      </c>
      <c r="F423" s="450" t="s">
        <v>1345</v>
      </c>
      <c r="G423" s="450" t="s">
        <v>1393</v>
      </c>
      <c r="H423" s="450"/>
      <c r="I423" s="450"/>
      <c r="J423" s="450"/>
      <c r="K423" s="647" t="s">
        <v>2420</v>
      </c>
      <c r="L423" s="641"/>
      <c r="M423" s="641"/>
      <c r="N423" s="641"/>
      <c r="O423" s="641">
        <f t="shared" si="142"/>
        <v>0</v>
      </c>
      <c r="P423" s="641"/>
      <c r="Q423" s="641"/>
      <c r="R423" s="641"/>
      <c r="S423" s="641"/>
      <c r="T423" s="641"/>
      <c r="U423" s="641"/>
      <c r="V423" s="648" t="e">
        <f t="shared" si="137"/>
        <v>#DIV/0!</v>
      </c>
      <c r="W423" s="644"/>
      <c r="X423" s="584" t="e">
        <f t="shared" si="134"/>
        <v>#DIV/0!</v>
      </c>
      <c r="Y423" s="584" t="e">
        <f t="shared" si="134"/>
        <v>#DIV/0!</v>
      </c>
      <c r="Z423" s="584" t="e">
        <f t="shared" si="134"/>
        <v>#DIV/0!</v>
      </c>
      <c r="AA423" s="584" t="e">
        <f t="shared" si="134"/>
        <v>#DIV/0!</v>
      </c>
    </row>
    <row r="424" spans="1:27" ht="22.5" hidden="1" customHeight="1" thickTop="1" thickBot="1" x14ac:dyDescent="0.3">
      <c r="A424" s="451">
        <v>1</v>
      </c>
      <c r="B424" s="450" t="s">
        <v>1343</v>
      </c>
      <c r="C424" s="450" t="s">
        <v>1413</v>
      </c>
      <c r="D424" s="450" t="s">
        <v>1391</v>
      </c>
      <c r="E424" s="450" t="s">
        <v>1350</v>
      </c>
      <c r="F424" s="450" t="s">
        <v>1345</v>
      </c>
      <c r="G424" s="450" t="s">
        <v>2151</v>
      </c>
      <c r="H424" s="450"/>
      <c r="I424" s="450"/>
      <c r="J424" s="450"/>
      <c r="K424" s="647" t="s">
        <v>2421</v>
      </c>
      <c r="L424" s="641"/>
      <c r="M424" s="641"/>
      <c r="N424" s="641"/>
      <c r="O424" s="641">
        <f t="shared" si="142"/>
        <v>0</v>
      </c>
      <c r="P424" s="641"/>
      <c r="Q424" s="641"/>
      <c r="R424" s="641"/>
      <c r="S424" s="641"/>
      <c r="T424" s="641"/>
      <c r="U424" s="641"/>
      <c r="V424" s="648" t="e">
        <f t="shared" si="137"/>
        <v>#DIV/0!</v>
      </c>
      <c r="W424" s="644"/>
      <c r="X424" s="584" t="e">
        <f t="shared" si="134"/>
        <v>#DIV/0!</v>
      </c>
      <c r="Y424" s="584" t="e">
        <f t="shared" si="134"/>
        <v>#DIV/0!</v>
      </c>
      <c r="Z424" s="584" t="e">
        <f t="shared" si="134"/>
        <v>#DIV/0!</v>
      </c>
      <c r="AA424" s="584" t="e">
        <f t="shared" si="134"/>
        <v>#DIV/0!</v>
      </c>
    </row>
    <row r="425" spans="1:27" ht="22.5" hidden="1" customHeight="1" thickTop="1" thickBot="1" x14ac:dyDescent="0.3">
      <c r="A425" s="451">
        <v>1</v>
      </c>
      <c r="B425" s="450" t="s">
        <v>1343</v>
      </c>
      <c r="C425" s="450" t="s">
        <v>1413</v>
      </c>
      <c r="D425" s="450" t="s">
        <v>1391</v>
      </c>
      <c r="E425" s="450" t="s">
        <v>1350</v>
      </c>
      <c r="F425" s="450" t="s">
        <v>1345</v>
      </c>
      <c r="G425" s="450" t="s">
        <v>2215</v>
      </c>
      <c r="H425" s="450"/>
      <c r="I425" s="450"/>
      <c r="J425" s="450"/>
      <c r="K425" s="647" t="s">
        <v>2422</v>
      </c>
      <c r="L425" s="641"/>
      <c r="M425" s="641"/>
      <c r="N425" s="641"/>
      <c r="O425" s="641">
        <f t="shared" si="142"/>
        <v>0</v>
      </c>
      <c r="P425" s="641"/>
      <c r="Q425" s="641"/>
      <c r="R425" s="641"/>
      <c r="S425" s="641"/>
      <c r="T425" s="641"/>
      <c r="U425" s="641"/>
      <c r="V425" s="648" t="e">
        <f t="shared" si="137"/>
        <v>#DIV/0!</v>
      </c>
      <c r="W425" s="644"/>
      <c r="X425" s="584" t="e">
        <f t="shared" si="134"/>
        <v>#DIV/0!</v>
      </c>
      <c r="Y425" s="584" t="e">
        <f t="shared" si="134"/>
        <v>#DIV/0!</v>
      </c>
      <c r="Z425" s="584" t="e">
        <f t="shared" si="134"/>
        <v>#DIV/0!</v>
      </c>
      <c r="AA425" s="584" t="e">
        <f t="shared" si="134"/>
        <v>#DIV/0!</v>
      </c>
    </row>
    <row r="426" spans="1:27" ht="22.5" hidden="1" customHeight="1" thickTop="1" thickBot="1" x14ac:dyDescent="0.3">
      <c r="A426" s="451">
        <v>1</v>
      </c>
      <c r="B426" s="450" t="s">
        <v>1343</v>
      </c>
      <c r="C426" s="450" t="s">
        <v>1413</v>
      </c>
      <c r="D426" s="450" t="s">
        <v>1391</v>
      </c>
      <c r="E426" s="450" t="s">
        <v>1350</v>
      </c>
      <c r="F426" s="450" t="s">
        <v>1345</v>
      </c>
      <c r="G426" s="450" t="s">
        <v>2338</v>
      </c>
      <c r="H426" s="450"/>
      <c r="I426" s="450"/>
      <c r="J426" s="450"/>
      <c r="K426" s="647" t="s">
        <v>2423</v>
      </c>
      <c r="L426" s="641"/>
      <c r="M426" s="641"/>
      <c r="N426" s="641"/>
      <c r="O426" s="641">
        <f t="shared" si="142"/>
        <v>0</v>
      </c>
      <c r="P426" s="641"/>
      <c r="Q426" s="641"/>
      <c r="R426" s="641"/>
      <c r="S426" s="641"/>
      <c r="T426" s="641"/>
      <c r="U426" s="641"/>
      <c r="V426" s="648" t="e">
        <f t="shared" si="137"/>
        <v>#DIV/0!</v>
      </c>
      <c r="W426" s="644"/>
      <c r="X426" s="584" t="e">
        <f t="shared" si="134"/>
        <v>#DIV/0!</v>
      </c>
      <c r="Y426" s="584" t="e">
        <f t="shared" si="134"/>
        <v>#DIV/0!</v>
      </c>
      <c r="Z426" s="584" t="e">
        <f t="shared" si="134"/>
        <v>#DIV/0!</v>
      </c>
      <c r="AA426" s="584" t="e">
        <f t="shared" si="134"/>
        <v>#DIV/0!</v>
      </c>
    </row>
    <row r="427" spans="1:27" ht="22.5" hidden="1" customHeight="1" thickTop="1" thickBot="1" x14ac:dyDescent="0.3">
      <c r="A427" s="451">
        <v>1</v>
      </c>
      <c r="B427" s="450" t="s">
        <v>1343</v>
      </c>
      <c r="C427" s="450" t="s">
        <v>1413</v>
      </c>
      <c r="D427" s="450" t="s">
        <v>1391</v>
      </c>
      <c r="E427" s="450" t="s">
        <v>1350</v>
      </c>
      <c r="F427" s="450" t="s">
        <v>1345</v>
      </c>
      <c r="G427" s="450" t="s">
        <v>2340</v>
      </c>
      <c r="H427" s="450"/>
      <c r="I427" s="450"/>
      <c r="J427" s="450"/>
      <c r="K427" s="647" t="s">
        <v>2424</v>
      </c>
      <c r="L427" s="641"/>
      <c r="M427" s="641"/>
      <c r="N427" s="641"/>
      <c r="O427" s="641">
        <f t="shared" si="142"/>
        <v>0</v>
      </c>
      <c r="P427" s="641"/>
      <c r="Q427" s="641"/>
      <c r="R427" s="641"/>
      <c r="S427" s="641"/>
      <c r="T427" s="641"/>
      <c r="U427" s="641"/>
      <c r="V427" s="648" t="e">
        <f t="shared" si="137"/>
        <v>#DIV/0!</v>
      </c>
      <c r="W427" s="644"/>
      <c r="X427" s="584" t="e">
        <f t="shared" si="134"/>
        <v>#DIV/0!</v>
      </c>
      <c r="Y427" s="584" t="e">
        <f t="shared" si="134"/>
        <v>#DIV/0!</v>
      </c>
      <c r="Z427" s="584" t="e">
        <f t="shared" si="134"/>
        <v>#DIV/0!</v>
      </c>
      <c r="AA427" s="584" t="e">
        <f t="shared" si="134"/>
        <v>#DIV/0!</v>
      </c>
    </row>
    <row r="428" spans="1:27" ht="22.5" hidden="1" customHeight="1" thickTop="1" thickBot="1" x14ac:dyDescent="0.3">
      <c r="A428" s="451">
        <v>1</v>
      </c>
      <c r="B428" s="450" t="s">
        <v>1343</v>
      </c>
      <c r="C428" s="450" t="s">
        <v>1413</v>
      </c>
      <c r="D428" s="450" t="s">
        <v>1391</v>
      </c>
      <c r="E428" s="450" t="s">
        <v>1350</v>
      </c>
      <c r="F428" s="450" t="s">
        <v>1345</v>
      </c>
      <c r="G428" s="450" t="s">
        <v>2342</v>
      </c>
      <c r="H428" s="450"/>
      <c r="I428" s="450"/>
      <c r="J428" s="450"/>
      <c r="K428" s="647" t="s">
        <v>2425</v>
      </c>
      <c r="L428" s="641"/>
      <c r="M428" s="641"/>
      <c r="N428" s="641"/>
      <c r="O428" s="641">
        <f t="shared" si="142"/>
        <v>0</v>
      </c>
      <c r="P428" s="641"/>
      <c r="Q428" s="641"/>
      <c r="R428" s="641"/>
      <c r="S428" s="641"/>
      <c r="T428" s="641"/>
      <c r="U428" s="641"/>
      <c r="V428" s="648" t="e">
        <f t="shared" si="137"/>
        <v>#DIV/0!</v>
      </c>
      <c r="W428" s="644"/>
      <c r="X428" s="584" t="e">
        <f t="shared" si="134"/>
        <v>#DIV/0!</v>
      </c>
      <c r="Y428" s="584" t="e">
        <f t="shared" si="134"/>
        <v>#DIV/0!</v>
      </c>
      <c r="Z428" s="584" t="e">
        <f t="shared" si="134"/>
        <v>#DIV/0!</v>
      </c>
      <c r="AA428" s="584" t="e">
        <f t="shared" si="134"/>
        <v>#DIV/0!</v>
      </c>
    </row>
    <row r="429" spans="1:27" ht="22.5" hidden="1" customHeight="1" thickTop="1" thickBot="1" x14ac:dyDescent="0.3">
      <c r="A429" s="451">
        <v>1</v>
      </c>
      <c r="B429" s="450" t="s">
        <v>1343</v>
      </c>
      <c r="C429" s="450" t="s">
        <v>1413</v>
      </c>
      <c r="D429" s="450" t="s">
        <v>1391</v>
      </c>
      <c r="E429" s="450" t="s">
        <v>1350</v>
      </c>
      <c r="F429" s="450" t="s">
        <v>1345</v>
      </c>
      <c r="G429" s="450" t="s">
        <v>2344</v>
      </c>
      <c r="H429" s="450"/>
      <c r="I429" s="450"/>
      <c r="J429" s="450"/>
      <c r="K429" s="647" t="s">
        <v>2426</v>
      </c>
      <c r="L429" s="641"/>
      <c r="M429" s="641"/>
      <c r="N429" s="641"/>
      <c r="O429" s="641">
        <f t="shared" si="142"/>
        <v>0</v>
      </c>
      <c r="P429" s="641"/>
      <c r="Q429" s="641"/>
      <c r="R429" s="641"/>
      <c r="S429" s="641"/>
      <c r="T429" s="641"/>
      <c r="U429" s="641"/>
      <c r="V429" s="648" t="e">
        <f t="shared" si="137"/>
        <v>#DIV/0!</v>
      </c>
      <c r="W429" s="644"/>
      <c r="X429" s="584" t="e">
        <f t="shared" si="134"/>
        <v>#DIV/0!</v>
      </c>
      <c r="Y429" s="584" t="e">
        <f t="shared" si="134"/>
        <v>#DIV/0!</v>
      </c>
      <c r="Z429" s="584" t="e">
        <f t="shared" si="134"/>
        <v>#DIV/0!</v>
      </c>
      <c r="AA429" s="584" t="e">
        <f t="shared" si="134"/>
        <v>#DIV/0!</v>
      </c>
    </row>
    <row r="430" spans="1:27" ht="22.5" hidden="1" customHeight="1" thickTop="1" thickBot="1" x14ac:dyDescent="0.3">
      <c r="A430" s="451">
        <v>1</v>
      </c>
      <c r="B430" s="450" t="s">
        <v>1343</v>
      </c>
      <c r="C430" s="450" t="s">
        <v>1413</v>
      </c>
      <c r="D430" s="450" t="s">
        <v>1391</v>
      </c>
      <c r="E430" s="450" t="s">
        <v>1350</v>
      </c>
      <c r="F430" s="450" t="s">
        <v>1345</v>
      </c>
      <c r="G430" s="450" t="s">
        <v>2346</v>
      </c>
      <c r="H430" s="450"/>
      <c r="I430" s="450"/>
      <c r="J430" s="450"/>
      <c r="K430" s="647" t="s">
        <v>2427</v>
      </c>
      <c r="L430" s="641"/>
      <c r="M430" s="641"/>
      <c r="N430" s="641"/>
      <c r="O430" s="641">
        <f t="shared" si="142"/>
        <v>0</v>
      </c>
      <c r="P430" s="641"/>
      <c r="Q430" s="641"/>
      <c r="R430" s="641"/>
      <c r="S430" s="641"/>
      <c r="T430" s="641"/>
      <c r="U430" s="641"/>
      <c r="V430" s="648" t="e">
        <f t="shared" si="137"/>
        <v>#DIV/0!</v>
      </c>
      <c r="W430" s="644"/>
      <c r="X430" s="584" t="e">
        <f t="shared" si="134"/>
        <v>#DIV/0!</v>
      </c>
      <c r="Y430" s="584" t="e">
        <f t="shared" si="134"/>
        <v>#DIV/0!</v>
      </c>
      <c r="Z430" s="584" t="e">
        <f t="shared" si="134"/>
        <v>#DIV/0!</v>
      </c>
      <c r="AA430" s="584" t="e">
        <f t="shared" si="134"/>
        <v>#DIV/0!</v>
      </c>
    </row>
    <row r="431" spans="1:27" ht="22.5" hidden="1" customHeight="1" thickTop="1" thickBot="1" x14ac:dyDescent="0.3">
      <c r="A431" s="451">
        <v>1</v>
      </c>
      <c r="B431" s="450" t="s">
        <v>1343</v>
      </c>
      <c r="C431" s="450" t="s">
        <v>1413</v>
      </c>
      <c r="D431" s="450" t="s">
        <v>1391</v>
      </c>
      <c r="E431" s="450" t="s">
        <v>1350</v>
      </c>
      <c r="F431" s="450" t="s">
        <v>1345</v>
      </c>
      <c r="G431" s="450" t="s">
        <v>2348</v>
      </c>
      <c r="H431" s="450"/>
      <c r="I431" s="450"/>
      <c r="J431" s="450"/>
      <c r="K431" s="647" t="s">
        <v>2428</v>
      </c>
      <c r="L431" s="641"/>
      <c r="M431" s="641"/>
      <c r="N431" s="641"/>
      <c r="O431" s="641">
        <f t="shared" si="142"/>
        <v>0</v>
      </c>
      <c r="P431" s="641"/>
      <c r="Q431" s="641"/>
      <c r="R431" s="641"/>
      <c r="S431" s="641"/>
      <c r="T431" s="641"/>
      <c r="U431" s="641"/>
      <c r="V431" s="648" t="e">
        <f t="shared" si="137"/>
        <v>#DIV/0!</v>
      </c>
      <c r="W431" s="644"/>
      <c r="X431" s="584" t="e">
        <f t="shared" si="134"/>
        <v>#DIV/0!</v>
      </c>
      <c r="Y431" s="584" t="e">
        <f t="shared" si="134"/>
        <v>#DIV/0!</v>
      </c>
      <c r="Z431" s="584" t="e">
        <f t="shared" si="134"/>
        <v>#DIV/0!</v>
      </c>
      <c r="AA431" s="584" t="e">
        <f t="shared" si="134"/>
        <v>#DIV/0!</v>
      </c>
    </row>
    <row r="432" spans="1:27" ht="22.5" hidden="1" customHeight="1" thickTop="1" thickBot="1" x14ac:dyDescent="0.3">
      <c r="A432" s="451">
        <v>1</v>
      </c>
      <c r="B432" s="450" t="s">
        <v>1343</v>
      </c>
      <c r="C432" s="450" t="s">
        <v>1413</v>
      </c>
      <c r="D432" s="450" t="s">
        <v>1391</v>
      </c>
      <c r="E432" s="450" t="s">
        <v>1350</v>
      </c>
      <c r="F432" s="450" t="s">
        <v>1345</v>
      </c>
      <c r="G432" s="450" t="s">
        <v>2350</v>
      </c>
      <c r="H432" s="450"/>
      <c r="I432" s="450"/>
      <c r="J432" s="450"/>
      <c r="K432" s="647" t="s">
        <v>2429</v>
      </c>
      <c r="L432" s="641"/>
      <c r="M432" s="641"/>
      <c r="N432" s="641"/>
      <c r="O432" s="641">
        <f t="shared" si="142"/>
        <v>0</v>
      </c>
      <c r="P432" s="641"/>
      <c r="Q432" s="641"/>
      <c r="R432" s="641"/>
      <c r="S432" s="641"/>
      <c r="T432" s="641"/>
      <c r="U432" s="641"/>
      <c r="V432" s="648" t="e">
        <f t="shared" si="137"/>
        <v>#DIV/0!</v>
      </c>
      <c r="W432" s="644"/>
      <c r="X432" s="584" t="e">
        <f t="shared" si="134"/>
        <v>#DIV/0!</v>
      </c>
      <c r="Y432" s="584" t="e">
        <f t="shared" si="134"/>
        <v>#DIV/0!</v>
      </c>
      <c r="Z432" s="584" t="e">
        <f t="shared" si="134"/>
        <v>#DIV/0!</v>
      </c>
      <c r="AA432" s="584" t="e">
        <f t="shared" si="134"/>
        <v>#DIV/0!</v>
      </c>
    </row>
    <row r="433" spans="1:27" ht="22.5" hidden="1" customHeight="1" thickTop="1" thickBot="1" x14ac:dyDescent="0.3">
      <c r="A433" s="451">
        <v>1</v>
      </c>
      <c r="B433" s="450" t="s">
        <v>1343</v>
      </c>
      <c r="C433" s="450" t="s">
        <v>1413</v>
      </c>
      <c r="D433" s="450" t="s">
        <v>1391</v>
      </c>
      <c r="E433" s="450" t="s">
        <v>1350</v>
      </c>
      <c r="F433" s="450" t="s">
        <v>1345</v>
      </c>
      <c r="G433" s="450" t="s">
        <v>2156</v>
      </c>
      <c r="H433" s="450"/>
      <c r="I433" s="450"/>
      <c r="J433" s="450"/>
      <c r="K433" s="647" t="s">
        <v>2430</v>
      </c>
      <c r="L433" s="641"/>
      <c r="M433" s="641"/>
      <c r="N433" s="641"/>
      <c r="O433" s="641">
        <f t="shared" si="142"/>
        <v>0</v>
      </c>
      <c r="P433" s="641"/>
      <c r="Q433" s="641"/>
      <c r="R433" s="641"/>
      <c r="S433" s="641"/>
      <c r="T433" s="641"/>
      <c r="U433" s="641"/>
      <c r="V433" s="648" t="e">
        <f t="shared" si="137"/>
        <v>#DIV/0!</v>
      </c>
      <c r="W433" s="644"/>
      <c r="X433" s="584" t="e">
        <f t="shared" si="134"/>
        <v>#DIV/0!</v>
      </c>
      <c r="Y433" s="584" t="e">
        <f t="shared" si="134"/>
        <v>#DIV/0!</v>
      </c>
      <c r="Z433" s="584" t="e">
        <f t="shared" si="134"/>
        <v>#DIV/0!</v>
      </c>
      <c r="AA433" s="584" t="e">
        <f t="shared" si="134"/>
        <v>#DIV/0!</v>
      </c>
    </row>
    <row r="434" spans="1:27" ht="22.5" hidden="1" customHeight="1" thickTop="1" thickBot="1" x14ac:dyDescent="0.3">
      <c r="A434" s="451">
        <v>1</v>
      </c>
      <c r="B434" s="450" t="s">
        <v>1343</v>
      </c>
      <c r="C434" s="450" t="s">
        <v>1413</v>
      </c>
      <c r="D434" s="450" t="s">
        <v>1391</v>
      </c>
      <c r="E434" s="450" t="s">
        <v>1350</v>
      </c>
      <c r="F434" s="450" t="s">
        <v>1345</v>
      </c>
      <c r="G434" s="450" t="s">
        <v>2353</v>
      </c>
      <c r="H434" s="450"/>
      <c r="I434" s="450"/>
      <c r="J434" s="450"/>
      <c r="K434" s="647" t="s">
        <v>2431</v>
      </c>
      <c r="L434" s="641"/>
      <c r="M434" s="641"/>
      <c r="N434" s="641"/>
      <c r="O434" s="641">
        <f t="shared" si="142"/>
        <v>0</v>
      </c>
      <c r="P434" s="641"/>
      <c r="Q434" s="641"/>
      <c r="R434" s="641"/>
      <c r="S434" s="641"/>
      <c r="T434" s="641"/>
      <c r="U434" s="641"/>
      <c r="V434" s="648" t="e">
        <f t="shared" si="137"/>
        <v>#DIV/0!</v>
      </c>
      <c r="W434" s="644"/>
      <c r="X434" s="584" t="e">
        <f t="shared" si="134"/>
        <v>#DIV/0!</v>
      </c>
      <c r="Y434" s="584" t="e">
        <f t="shared" si="134"/>
        <v>#DIV/0!</v>
      </c>
      <c r="Z434" s="584" t="e">
        <f t="shared" si="134"/>
        <v>#DIV/0!</v>
      </c>
      <c r="AA434" s="584" t="e">
        <f t="shared" si="134"/>
        <v>#DIV/0!</v>
      </c>
    </row>
    <row r="435" spans="1:27" ht="22.5" hidden="1" customHeight="1" thickTop="1" thickBot="1" x14ac:dyDescent="0.3">
      <c r="A435" s="451">
        <v>1</v>
      </c>
      <c r="B435" s="450" t="s">
        <v>1343</v>
      </c>
      <c r="C435" s="450" t="s">
        <v>1413</v>
      </c>
      <c r="D435" s="450" t="s">
        <v>1391</v>
      </c>
      <c r="E435" s="450" t="s">
        <v>1350</v>
      </c>
      <c r="F435" s="450" t="s">
        <v>1345</v>
      </c>
      <c r="G435" s="450" t="s">
        <v>2355</v>
      </c>
      <c r="H435" s="450"/>
      <c r="I435" s="450"/>
      <c r="J435" s="450"/>
      <c r="K435" s="647" t="s">
        <v>2432</v>
      </c>
      <c r="L435" s="641"/>
      <c r="M435" s="641"/>
      <c r="N435" s="641"/>
      <c r="O435" s="641">
        <f t="shared" si="142"/>
        <v>0</v>
      </c>
      <c r="P435" s="641"/>
      <c r="Q435" s="641"/>
      <c r="R435" s="641"/>
      <c r="S435" s="641"/>
      <c r="T435" s="641"/>
      <c r="U435" s="641"/>
      <c r="V435" s="648" t="e">
        <f t="shared" si="137"/>
        <v>#DIV/0!</v>
      </c>
      <c r="W435" s="644"/>
      <c r="X435" s="584" t="e">
        <f t="shared" si="134"/>
        <v>#DIV/0!</v>
      </c>
      <c r="Y435" s="584" t="e">
        <f t="shared" si="134"/>
        <v>#DIV/0!</v>
      </c>
      <c r="Z435" s="584" t="e">
        <f t="shared" si="134"/>
        <v>#DIV/0!</v>
      </c>
      <c r="AA435" s="584" t="e">
        <f t="shared" si="134"/>
        <v>#DIV/0!</v>
      </c>
    </row>
    <row r="436" spans="1:27" ht="22.5" hidden="1" customHeight="1" thickTop="1" thickBot="1" x14ac:dyDescent="0.3">
      <c r="A436" s="451">
        <v>1</v>
      </c>
      <c r="B436" s="450" t="s">
        <v>1343</v>
      </c>
      <c r="C436" s="450" t="s">
        <v>1413</v>
      </c>
      <c r="D436" s="450" t="s">
        <v>1391</v>
      </c>
      <c r="E436" s="450" t="s">
        <v>1350</v>
      </c>
      <c r="F436" s="450" t="s">
        <v>1345</v>
      </c>
      <c r="G436" s="450" t="s">
        <v>2357</v>
      </c>
      <c r="H436" s="450"/>
      <c r="I436" s="450"/>
      <c r="J436" s="450"/>
      <c r="K436" s="647" t="s">
        <v>2433</v>
      </c>
      <c r="L436" s="641"/>
      <c r="M436" s="641"/>
      <c r="N436" s="641"/>
      <c r="O436" s="641">
        <f t="shared" si="142"/>
        <v>0</v>
      </c>
      <c r="P436" s="641"/>
      <c r="Q436" s="641"/>
      <c r="R436" s="641"/>
      <c r="S436" s="641"/>
      <c r="T436" s="641"/>
      <c r="U436" s="641"/>
      <c r="V436" s="648" t="e">
        <f t="shared" si="137"/>
        <v>#DIV/0!</v>
      </c>
      <c r="W436" s="644"/>
      <c r="X436" s="584" t="e">
        <f t="shared" si="134"/>
        <v>#DIV/0!</v>
      </c>
      <c r="Y436" s="584" t="e">
        <f t="shared" si="134"/>
        <v>#DIV/0!</v>
      </c>
      <c r="Z436" s="584" t="e">
        <f t="shared" si="134"/>
        <v>#DIV/0!</v>
      </c>
      <c r="AA436" s="584" t="e">
        <f t="shared" si="134"/>
        <v>#DIV/0!</v>
      </c>
    </row>
    <row r="437" spans="1:27" ht="22.5" hidden="1" customHeight="1" thickTop="1" thickBot="1" x14ac:dyDescent="0.3">
      <c r="A437" s="451">
        <v>1</v>
      </c>
      <c r="B437" s="450" t="s">
        <v>1343</v>
      </c>
      <c r="C437" s="450" t="s">
        <v>1413</v>
      </c>
      <c r="D437" s="450" t="s">
        <v>1391</v>
      </c>
      <c r="E437" s="450" t="s">
        <v>1350</v>
      </c>
      <c r="F437" s="450" t="s">
        <v>1345</v>
      </c>
      <c r="G437" s="450" t="s">
        <v>2359</v>
      </c>
      <c r="H437" s="450"/>
      <c r="I437" s="450"/>
      <c r="J437" s="450"/>
      <c r="K437" s="647" t="s">
        <v>2434</v>
      </c>
      <c r="L437" s="641"/>
      <c r="M437" s="641"/>
      <c r="N437" s="641"/>
      <c r="O437" s="641">
        <f t="shared" si="142"/>
        <v>0</v>
      </c>
      <c r="P437" s="641"/>
      <c r="Q437" s="641"/>
      <c r="R437" s="641"/>
      <c r="S437" s="641"/>
      <c r="T437" s="641"/>
      <c r="U437" s="641"/>
      <c r="V437" s="648" t="e">
        <f t="shared" si="137"/>
        <v>#DIV/0!</v>
      </c>
      <c r="W437" s="644"/>
      <c r="X437" s="584" t="e">
        <f t="shared" si="134"/>
        <v>#DIV/0!</v>
      </c>
      <c r="Y437" s="584" t="e">
        <f t="shared" si="134"/>
        <v>#DIV/0!</v>
      </c>
      <c r="Z437" s="584" t="e">
        <f t="shared" si="134"/>
        <v>#DIV/0!</v>
      </c>
      <c r="AA437" s="584" t="e">
        <f t="shared" si="134"/>
        <v>#DIV/0!</v>
      </c>
    </row>
    <row r="438" spans="1:27" ht="22.5" hidden="1" customHeight="1" thickTop="1" thickBot="1" x14ac:dyDescent="0.3">
      <c r="A438" s="451">
        <v>1</v>
      </c>
      <c r="B438" s="450" t="s">
        <v>1343</v>
      </c>
      <c r="C438" s="450" t="s">
        <v>1413</v>
      </c>
      <c r="D438" s="450" t="s">
        <v>1391</v>
      </c>
      <c r="E438" s="450" t="s">
        <v>1350</v>
      </c>
      <c r="F438" s="450" t="s">
        <v>1345</v>
      </c>
      <c r="G438" s="450" t="s">
        <v>2361</v>
      </c>
      <c r="H438" s="450"/>
      <c r="I438" s="450"/>
      <c r="J438" s="450"/>
      <c r="K438" s="647" t="s">
        <v>2435</v>
      </c>
      <c r="L438" s="641"/>
      <c r="M438" s="641"/>
      <c r="N438" s="641"/>
      <c r="O438" s="641">
        <f t="shared" si="142"/>
        <v>0</v>
      </c>
      <c r="P438" s="641"/>
      <c r="Q438" s="641"/>
      <c r="R438" s="641"/>
      <c r="S438" s="641"/>
      <c r="T438" s="641"/>
      <c r="U438" s="641"/>
      <c r="V438" s="648" t="e">
        <f t="shared" si="137"/>
        <v>#DIV/0!</v>
      </c>
      <c r="W438" s="644"/>
      <c r="X438" s="584" t="e">
        <f t="shared" si="134"/>
        <v>#DIV/0!</v>
      </c>
      <c r="Y438" s="584" t="e">
        <f t="shared" si="134"/>
        <v>#DIV/0!</v>
      </c>
      <c r="Z438" s="584" t="e">
        <f t="shared" si="134"/>
        <v>#DIV/0!</v>
      </c>
      <c r="AA438" s="584" t="e">
        <f t="shared" si="134"/>
        <v>#DIV/0!</v>
      </c>
    </row>
    <row r="439" spans="1:27" ht="22.5" hidden="1" customHeight="1" thickTop="1" thickBot="1" x14ac:dyDescent="0.3">
      <c r="A439" s="451">
        <v>1</v>
      </c>
      <c r="B439" s="450" t="s">
        <v>1343</v>
      </c>
      <c r="C439" s="450" t="s">
        <v>1413</v>
      </c>
      <c r="D439" s="450" t="s">
        <v>1391</v>
      </c>
      <c r="E439" s="450" t="s">
        <v>1350</v>
      </c>
      <c r="F439" s="450" t="s">
        <v>1345</v>
      </c>
      <c r="G439" s="450" t="s">
        <v>2363</v>
      </c>
      <c r="H439" s="450"/>
      <c r="I439" s="450"/>
      <c r="J439" s="450"/>
      <c r="K439" s="647" t="s">
        <v>2436</v>
      </c>
      <c r="L439" s="641"/>
      <c r="M439" s="641"/>
      <c r="N439" s="641"/>
      <c r="O439" s="641">
        <f t="shared" si="142"/>
        <v>0</v>
      </c>
      <c r="P439" s="641"/>
      <c r="Q439" s="641"/>
      <c r="R439" s="641"/>
      <c r="S439" s="641"/>
      <c r="T439" s="641"/>
      <c r="U439" s="641"/>
      <c r="V439" s="648" t="e">
        <f t="shared" si="137"/>
        <v>#DIV/0!</v>
      </c>
      <c r="W439" s="644"/>
      <c r="X439" s="584" t="e">
        <f t="shared" si="134"/>
        <v>#DIV/0!</v>
      </c>
      <c r="Y439" s="584" t="e">
        <f t="shared" si="134"/>
        <v>#DIV/0!</v>
      </c>
      <c r="Z439" s="584" t="e">
        <f t="shared" si="134"/>
        <v>#DIV/0!</v>
      </c>
      <c r="AA439" s="584" t="e">
        <f t="shared" si="134"/>
        <v>#DIV/0!</v>
      </c>
    </row>
    <row r="440" spans="1:27" ht="22.5" hidden="1" customHeight="1" thickTop="1" thickBot="1" x14ac:dyDescent="0.3">
      <c r="A440" s="451">
        <v>1</v>
      </c>
      <c r="B440" s="450" t="s">
        <v>1343</v>
      </c>
      <c r="C440" s="450" t="s">
        <v>1413</v>
      </c>
      <c r="D440" s="450" t="s">
        <v>1391</v>
      </c>
      <c r="E440" s="450" t="s">
        <v>1350</v>
      </c>
      <c r="F440" s="450" t="s">
        <v>1345</v>
      </c>
      <c r="G440" s="450" t="s">
        <v>2365</v>
      </c>
      <c r="H440" s="450"/>
      <c r="I440" s="450"/>
      <c r="J440" s="450"/>
      <c r="K440" s="647" t="s">
        <v>2437</v>
      </c>
      <c r="L440" s="641"/>
      <c r="M440" s="641"/>
      <c r="N440" s="641"/>
      <c r="O440" s="641">
        <f t="shared" si="142"/>
        <v>0</v>
      </c>
      <c r="P440" s="641"/>
      <c r="Q440" s="641"/>
      <c r="R440" s="641"/>
      <c r="S440" s="641"/>
      <c r="T440" s="641"/>
      <c r="U440" s="641"/>
      <c r="V440" s="648" t="e">
        <f t="shared" si="137"/>
        <v>#DIV/0!</v>
      </c>
      <c r="W440" s="644"/>
      <c r="X440" s="584" t="e">
        <f t="shared" si="134"/>
        <v>#DIV/0!</v>
      </c>
      <c r="Y440" s="584" t="e">
        <f t="shared" si="134"/>
        <v>#DIV/0!</v>
      </c>
      <c r="Z440" s="584" t="e">
        <f t="shared" si="134"/>
        <v>#DIV/0!</v>
      </c>
      <c r="AA440" s="584" t="e">
        <f t="shared" si="134"/>
        <v>#DIV/0!</v>
      </c>
    </row>
    <row r="441" spans="1:27" ht="22.5" hidden="1" customHeight="1" thickTop="1" thickBot="1" x14ac:dyDescent="0.3">
      <c r="A441" s="451">
        <v>1</v>
      </c>
      <c r="B441" s="450" t="s">
        <v>1343</v>
      </c>
      <c r="C441" s="450" t="s">
        <v>1413</v>
      </c>
      <c r="D441" s="450" t="s">
        <v>1391</v>
      </c>
      <c r="E441" s="450" t="s">
        <v>1350</v>
      </c>
      <c r="F441" s="450" t="s">
        <v>1345</v>
      </c>
      <c r="G441" s="450" t="s">
        <v>2367</v>
      </c>
      <c r="H441" s="450"/>
      <c r="I441" s="450"/>
      <c r="J441" s="450"/>
      <c r="K441" s="647" t="s">
        <v>2438</v>
      </c>
      <c r="L441" s="641"/>
      <c r="M441" s="641"/>
      <c r="N441" s="641"/>
      <c r="O441" s="641">
        <f t="shared" si="142"/>
        <v>0</v>
      </c>
      <c r="P441" s="641"/>
      <c r="Q441" s="641"/>
      <c r="R441" s="641"/>
      <c r="S441" s="641"/>
      <c r="T441" s="641"/>
      <c r="U441" s="641"/>
      <c r="V441" s="648" t="e">
        <f t="shared" si="137"/>
        <v>#DIV/0!</v>
      </c>
      <c r="W441" s="644"/>
      <c r="X441" s="584" t="e">
        <f t="shared" si="134"/>
        <v>#DIV/0!</v>
      </c>
      <c r="Y441" s="584" t="e">
        <f t="shared" si="134"/>
        <v>#DIV/0!</v>
      </c>
      <c r="Z441" s="584" t="e">
        <f t="shared" si="134"/>
        <v>#DIV/0!</v>
      </c>
      <c r="AA441" s="584" t="e">
        <f t="shared" si="134"/>
        <v>#DIV/0!</v>
      </c>
    </row>
    <row r="442" spans="1:27" ht="22.5" hidden="1" customHeight="1" thickTop="1" thickBot="1" x14ac:dyDescent="0.3">
      <c r="A442" s="451">
        <v>1</v>
      </c>
      <c r="B442" s="450" t="s">
        <v>1343</v>
      </c>
      <c r="C442" s="450" t="s">
        <v>1413</v>
      </c>
      <c r="D442" s="450" t="s">
        <v>1391</v>
      </c>
      <c r="E442" s="450" t="s">
        <v>1350</v>
      </c>
      <c r="F442" s="450" t="s">
        <v>1345</v>
      </c>
      <c r="G442" s="450" t="s">
        <v>2439</v>
      </c>
      <c r="H442" s="450"/>
      <c r="I442" s="450"/>
      <c r="J442" s="450"/>
      <c r="K442" s="647" t="s">
        <v>2440</v>
      </c>
      <c r="L442" s="641"/>
      <c r="M442" s="641"/>
      <c r="N442" s="641"/>
      <c r="O442" s="641">
        <f t="shared" si="142"/>
        <v>0</v>
      </c>
      <c r="P442" s="641"/>
      <c r="Q442" s="641"/>
      <c r="R442" s="641"/>
      <c r="S442" s="641"/>
      <c r="T442" s="641"/>
      <c r="U442" s="641"/>
      <c r="V442" s="648" t="e">
        <f t="shared" si="137"/>
        <v>#DIV/0!</v>
      </c>
      <c r="W442" s="644"/>
      <c r="X442" s="584" t="e">
        <f t="shared" si="134"/>
        <v>#DIV/0!</v>
      </c>
      <c r="Y442" s="584" t="e">
        <f t="shared" si="134"/>
        <v>#DIV/0!</v>
      </c>
      <c r="Z442" s="584" t="e">
        <f t="shared" si="134"/>
        <v>#DIV/0!</v>
      </c>
      <c r="AA442" s="584" t="e">
        <f t="shared" si="134"/>
        <v>#DIV/0!</v>
      </c>
    </row>
    <row r="443" spans="1:27" ht="22.5" hidden="1" customHeight="1" thickTop="1" thickBot="1" x14ac:dyDescent="0.3">
      <c r="A443" s="451">
        <v>1</v>
      </c>
      <c r="B443" s="450" t="s">
        <v>1343</v>
      </c>
      <c r="C443" s="450" t="s">
        <v>1413</v>
      </c>
      <c r="D443" s="450" t="s">
        <v>1391</v>
      </c>
      <c r="E443" s="450" t="s">
        <v>1350</v>
      </c>
      <c r="F443" s="450" t="s">
        <v>1345</v>
      </c>
      <c r="G443" s="450" t="s">
        <v>2441</v>
      </c>
      <c r="H443" s="450"/>
      <c r="I443" s="450"/>
      <c r="J443" s="450"/>
      <c r="K443" s="647" t="s">
        <v>2442</v>
      </c>
      <c r="L443" s="641"/>
      <c r="M443" s="641"/>
      <c r="N443" s="641"/>
      <c r="O443" s="641">
        <f t="shared" si="142"/>
        <v>0</v>
      </c>
      <c r="P443" s="641"/>
      <c r="Q443" s="641"/>
      <c r="R443" s="641"/>
      <c r="S443" s="641"/>
      <c r="T443" s="641"/>
      <c r="U443" s="641"/>
      <c r="V443" s="648" t="e">
        <f t="shared" si="137"/>
        <v>#DIV/0!</v>
      </c>
      <c r="W443" s="644"/>
      <c r="X443" s="584" t="e">
        <f t="shared" si="134"/>
        <v>#DIV/0!</v>
      </c>
      <c r="Y443" s="584" t="e">
        <f t="shared" si="134"/>
        <v>#DIV/0!</v>
      </c>
      <c r="Z443" s="584" t="e">
        <f t="shared" si="134"/>
        <v>#DIV/0!</v>
      </c>
      <c r="AA443" s="584" t="e">
        <f t="shared" si="134"/>
        <v>#DIV/0!</v>
      </c>
    </row>
    <row r="444" spans="1:27" s="663" customFormat="1" ht="22.5" hidden="1" customHeight="1" thickTop="1" thickBot="1" x14ac:dyDescent="0.3">
      <c r="A444" s="655">
        <v>1</v>
      </c>
      <c r="B444" s="656" t="s">
        <v>1343</v>
      </c>
      <c r="C444" s="656" t="s">
        <v>1413</v>
      </c>
      <c r="D444" s="656" t="s">
        <v>1391</v>
      </c>
      <c r="E444" s="656" t="s">
        <v>1350</v>
      </c>
      <c r="F444" s="656" t="s">
        <v>1350</v>
      </c>
      <c r="G444" s="656"/>
      <c r="H444" s="656"/>
      <c r="I444" s="656"/>
      <c r="J444" s="656"/>
      <c r="K444" s="658" t="s">
        <v>2443</v>
      </c>
      <c r="L444" s="659">
        <f>SUM(L445:L475)</f>
        <v>0</v>
      </c>
      <c r="M444" s="659">
        <f t="shared" ref="M444:U444" si="143">SUM(M445:M475)</f>
        <v>0</v>
      </c>
      <c r="N444" s="659">
        <f t="shared" si="143"/>
        <v>0</v>
      </c>
      <c r="O444" s="659">
        <f t="shared" si="143"/>
        <v>0</v>
      </c>
      <c r="P444" s="659">
        <f t="shared" si="143"/>
        <v>0</v>
      </c>
      <c r="Q444" s="659">
        <f t="shared" si="143"/>
        <v>0</v>
      </c>
      <c r="R444" s="659">
        <f t="shared" si="143"/>
        <v>0</v>
      </c>
      <c r="S444" s="659">
        <f t="shared" si="143"/>
        <v>0</v>
      </c>
      <c r="T444" s="659">
        <f t="shared" si="143"/>
        <v>0</v>
      </c>
      <c r="U444" s="659">
        <f t="shared" si="143"/>
        <v>0</v>
      </c>
      <c r="V444" s="660" t="e">
        <f t="shared" si="137"/>
        <v>#DIV/0!</v>
      </c>
      <c r="W444" s="661"/>
      <c r="X444" s="663" t="e">
        <f t="shared" si="134"/>
        <v>#DIV/0!</v>
      </c>
      <c r="Y444" s="663" t="e">
        <f t="shared" si="134"/>
        <v>#DIV/0!</v>
      </c>
      <c r="Z444" s="663" t="e">
        <f t="shared" si="134"/>
        <v>#DIV/0!</v>
      </c>
      <c r="AA444" s="663" t="e">
        <f t="shared" si="134"/>
        <v>#DIV/0!</v>
      </c>
    </row>
    <row r="445" spans="1:27" ht="22.5" hidden="1" customHeight="1" thickTop="1" thickBot="1" x14ac:dyDescent="0.3">
      <c r="A445" s="451">
        <v>1</v>
      </c>
      <c r="B445" s="450" t="s">
        <v>1343</v>
      </c>
      <c r="C445" s="450" t="s">
        <v>1413</v>
      </c>
      <c r="D445" s="450" t="s">
        <v>1391</v>
      </c>
      <c r="E445" s="450" t="s">
        <v>1350</v>
      </c>
      <c r="F445" s="450" t="s">
        <v>1350</v>
      </c>
      <c r="G445" s="450" t="s">
        <v>1345</v>
      </c>
      <c r="H445" s="450"/>
      <c r="I445" s="450"/>
      <c r="J445" s="450"/>
      <c r="K445" s="647" t="s">
        <v>2444</v>
      </c>
      <c r="L445" s="641"/>
      <c r="M445" s="641"/>
      <c r="N445" s="641"/>
      <c r="O445" s="641">
        <f t="shared" ref="O445:O475" si="144">+L445+M445-N445</f>
        <v>0</v>
      </c>
      <c r="P445" s="641"/>
      <c r="Q445" s="641"/>
      <c r="R445" s="641"/>
      <c r="S445" s="641"/>
      <c r="T445" s="641"/>
      <c r="U445" s="641"/>
      <c r="V445" s="648" t="e">
        <f t="shared" si="137"/>
        <v>#DIV/0!</v>
      </c>
      <c r="W445" s="644"/>
      <c r="X445" s="584" t="e">
        <f t="shared" si="134"/>
        <v>#DIV/0!</v>
      </c>
      <c r="Y445" s="584" t="e">
        <f t="shared" si="134"/>
        <v>#DIV/0!</v>
      </c>
      <c r="Z445" s="584" t="e">
        <f t="shared" si="134"/>
        <v>#DIV/0!</v>
      </c>
      <c r="AA445" s="584" t="e">
        <f t="shared" si="134"/>
        <v>#DIV/0!</v>
      </c>
    </row>
    <row r="446" spans="1:27" ht="22.5" hidden="1" customHeight="1" thickTop="1" thickBot="1" x14ac:dyDescent="0.3">
      <c r="A446" s="451">
        <v>1</v>
      </c>
      <c r="B446" s="450" t="s">
        <v>1343</v>
      </c>
      <c r="C446" s="450" t="s">
        <v>1413</v>
      </c>
      <c r="D446" s="450" t="s">
        <v>1391</v>
      </c>
      <c r="E446" s="450" t="s">
        <v>1350</v>
      </c>
      <c r="F446" s="450" t="s">
        <v>1350</v>
      </c>
      <c r="G446" s="450" t="s">
        <v>1350</v>
      </c>
      <c r="H446" s="450"/>
      <c r="I446" s="450"/>
      <c r="J446" s="450"/>
      <c r="K446" s="647" t="s">
        <v>2445</v>
      </c>
      <c r="L446" s="641"/>
      <c r="M446" s="641"/>
      <c r="N446" s="641"/>
      <c r="O446" s="641">
        <f t="shared" si="144"/>
        <v>0</v>
      </c>
      <c r="P446" s="641"/>
      <c r="Q446" s="641"/>
      <c r="R446" s="641"/>
      <c r="S446" s="641"/>
      <c r="T446" s="641"/>
      <c r="U446" s="641"/>
      <c r="V446" s="648" t="e">
        <f t="shared" si="137"/>
        <v>#DIV/0!</v>
      </c>
      <c r="W446" s="644"/>
      <c r="X446" s="584" t="e">
        <f t="shared" si="134"/>
        <v>#DIV/0!</v>
      </c>
      <c r="Y446" s="584" t="e">
        <f t="shared" si="134"/>
        <v>#DIV/0!</v>
      </c>
      <c r="Z446" s="584" t="e">
        <f t="shared" si="134"/>
        <v>#DIV/0!</v>
      </c>
      <c r="AA446" s="584" t="e">
        <f t="shared" si="134"/>
        <v>#DIV/0!</v>
      </c>
    </row>
    <row r="447" spans="1:27" ht="22.5" hidden="1" customHeight="1" thickTop="1" thickBot="1" x14ac:dyDescent="0.3">
      <c r="A447" s="451">
        <v>1</v>
      </c>
      <c r="B447" s="450" t="s">
        <v>1343</v>
      </c>
      <c r="C447" s="450" t="s">
        <v>1413</v>
      </c>
      <c r="D447" s="450" t="s">
        <v>1391</v>
      </c>
      <c r="E447" s="450" t="s">
        <v>1350</v>
      </c>
      <c r="F447" s="450" t="s">
        <v>1350</v>
      </c>
      <c r="G447" s="450" t="s">
        <v>1354</v>
      </c>
      <c r="H447" s="450"/>
      <c r="I447" s="450"/>
      <c r="J447" s="450"/>
      <c r="K447" s="647" t="s">
        <v>2446</v>
      </c>
      <c r="L447" s="641"/>
      <c r="M447" s="641"/>
      <c r="N447" s="641"/>
      <c r="O447" s="641">
        <f t="shared" si="144"/>
        <v>0</v>
      </c>
      <c r="P447" s="641"/>
      <c r="Q447" s="641"/>
      <c r="R447" s="641"/>
      <c r="S447" s="641"/>
      <c r="T447" s="641"/>
      <c r="U447" s="641"/>
      <c r="V447" s="648" t="e">
        <f t="shared" si="137"/>
        <v>#DIV/0!</v>
      </c>
      <c r="W447" s="644"/>
      <c r="X447" s="584" t="e">
        <f t="shared" si="134"/>
        <v>#DIV/0!</v>
      </c>
      <c r="Y447" s="584" t="e">
        <f t="shared" si="134"/>
        <v>#DIV/0!</v>
      </c>
      <c r="Z447" s="584" t="e">
        <f t="shared" si="134"/>
        <v>#DIV/0!</v>
      </c>
      <c r="AA447" s="584" t="e">
        <f t="shared" si="134"/>
        <v>#DIV/0!</v>
      </c>
    </row>
    <row r="448" spans="1:27" ht="22.5" hidden="1" customHeight="1" thickTop="1" thickBot="1" x14ac:dyDescent="0.3">
      <c r="A448" s="451">
        <v>1</v>
      </c>
      <c r="B448" s="450" t="s">
        <v>1343</v>
      </c>
      <c r="C448" s="450" t="s">
        <v>1413</v>
      </c>
      <c r="D448" s="450" t="s">
        <v>1391</v>
      </c>
      <c r="E448" s="450" t="s">
        <v>1350</v>
      </c>
      <c r="F448" s="450" t="s">
        <v>1350</v>
      </c>
      <c r="G448" s="450" t="s">
        <v>1355</v>
      </c>
      <c r="H448" s="450"/>
      <c r="I448" s="450"/>
      <c r="J448" s="450"/>
      <c r="K448" s="647" t="s">
        <v>2447</v>
      </c>
      <c r="L448" s="641"/>
      <c r="M448" s="641"/>
      <c r="N448" s="641"/>
      <c r="O448" s="641">
        <f t="shared" si="144"/>
        <v>0</v>
      </c>
      <c r="P448" s="641"/>
      <c r="Q448" s="641"/>
      <c r="R448" s="641"/>
      <c r="S448" s="641"/>
      <c r="T448" s="641"/>
      <c r="U448" s="641"/>
      <c r="V448" s="648" t="e">
        <f t="shared" si="137"/>
        <v>#DIV/0!</v>
      </c>
      <c r="W448" s="644"/>
      <c r="X448" s="584" t="e">
        <f t="shared" si="134"/>
        <v>#DIV/0!</v>
      </c>
      <c r="Y448" s="584" t="e">
        <f t="shared" si="134"/>
        <v>#DIV/0!</v>
      </c>
      <c r="Z448" s="584" t="e">
        <f t="shared" si="134"/>
        <v>#DIV/0!</v>
      </c>
      <c r="AA448" s="584" t="e">
        <f t="shared" si="134"/>
        <v>#DIV/0!</v>
      </c>
    </row>
    <row r="449" spans="1:27" ht="22.5" hidden="1" customHeight="1" thickTop="1" thickBot="1" x14ac:dyDescent="0.3">
      <c r="A449" s="451">
        <v>1</v>
      </c>
      <c r="B449" s="450" t="s">
        <v>1343</v>
      </c>
      <c r="C449" s="450" t="s">
        <v>1413</v>
      </c>
      <c r="D449" s="450" t="s">
        <v>1391</v>
      </c>
      <c r="E449" s="450" t="s">
        <v>1350</v>
      </c>
      <c r="F449" s="450" t="s">
        <v>1350</v>
      </c>
      <c r="G449" s="450" t="s">
        <v>1358</v>
      </c>
      <c r="H449" s="450"/>
      <c r="I449" s="450"/>
      <c r="J449" s="450"/>
      <c r="K449" s="647" t="s">
        <v>2448</v>
      </c>
      <c r="L449" s="641"/>
      <c r="M449" s="641"/>
      <c r="N449" s="641"/>
      <c r="O449" s="641">
        <f t="shared" si="144"/>
        <v>0</v>
      </c>
      <c r="P449" s="641"/>
      <c r="Q449" s="641"/>
      <c r="R449" s="641"/>
      <c r="S449" s="641"/>
      <c r="T449" s="641"/>
      <c r="U449" s="641"/>
      <c r="V449" s="648" t="e">
        <f t="shared" si="137"/>
        <v>#DIV/0!</v>
      </c>
      <c r="W449" s="644"/>
      <c r="X449" s="584" t="e">
        <f t="shared" si="134"/>
        <v>#DIV/0!</v>
      </c>
      <c r="Y449" s="584" t="e">
        <f t="shared" si="134"/>
        <v>#DIV/0!</v>
      </c>
      <c r="Z449" s="584" t="e">
        <f t="shared" si="134"/>
        <v>#DIV/0!</v>
      </c>
      <c r="AA449" s="584" t="e">
        <f t="shared" si="134"/>
        <v>#DIV/0!</v>
      </c>
    </row>
    <row r="450" spans="1:27" ht="22.5" hidden="1" customHeight="1" thickTop="1" thickBot="1" x14ac:dyDescent="0.3">
      <c r="A450" s="451">
        <v>1</v>
      </c>
      <c r="B450" s="450" t="s">
        <v>1343</v>
      </c>
      <c r="C450" s="450" t="s">
        <v>1413</v>
      </c>
      <c r="D450" s="450" t="s">
        <v>1391</v>
      </c>
      <c r="E450" s="450" t="s">
        <v>1350</v>
      </c>
      <c r="F450" s="450" t="s">
        <v>1350</v>
      </c>
      <c r="G450" s="450" t="s">
        <v>1359</v>
      </c>
      <c r="H450" s="450"/>
      <c r="I450" s="450"/>
      <c r="J450" s="450"/>
      <c r="K450" s="647" t="s">
        <v>2449</v>
      </c>
      <c r="L450" s="641"/>
      <c r="M450" s="641"/>
      <c r="N450" s="641"/>
      <c r="O450" s="641">
        <f t="shared" si="144"/>
        <v>0</v>
      </c>
      <c r="P450" s="641"/>
      <c r="Q450" s="641"/>
      <c r="R450" s="641"/>
      <c r="S450" s="641"/>
      <c r="T450" s="641"/>
      <c r="U450" s="641"/>
      <c r="V450" s="648" t="e">
        <f t="shared" si="137"/>
        <v>#DIV/0!</v>
      </c>
      <c r="W450" s="644"/>
      <c r="X450" s="584" t="e">
        <f t="shared" si="134"/>
        <v>#DIV/0!</v>
      </c>
      <c r="Y450" s="584" t="e">
        <f t="shared" si="134"/>
        <v>#DIV/0!</v>
      </c>
      <c r="Z450" s="584" t="e">
        <f t="shared" si="134"/>
        <v>#DIV/0!</v>
      </c>
      <c r="AA450" s="584" t="e">
        <f t="shared" si="134"/>
        <v>#DIV/0!</v>
      </c>
    </row>
    <row r="451" spans="1:27" ht="22.5" hidden="1" customHeight="1" thickTop="1" thickBot="1" x14ac:dyDescent="0.3">
      <c r="A451" s="451">
        <v>1</v>
      </c>
      <c r="B451" s="450" t="s">
        <v>1343</v>
      </c>
      <c r="C451" s="450" t="s">
        <v>1413</v>
      </c>
      <c r="D451" s="450" t="s">
        <v>1391</v>
      </c>
      <c r="E451" s="450" t="s">
        <v>1350</v>
      </c>
      <c r="F451" s="450" t="s">
        <v>1350</v>
      </c>
      <c r="G451" s="450" t="s">
        <v>1360</v>
      </c>
      <c r="H451" s="450"/>
      <c r="I451" s="450"/>
      <c r="J451" s="450"/>
      <c r="K451" s="647" t="s">
        <v>2450</v>
      </c>
      <c r="L451" s="641"/>
      <c r="M451" s="641"/>
      <c r="N451" s="641"/>
      <c r="O451" s="641">
        <f t="shared" si="144"/>
        <v>0</v>
      </c>
      <c r="P451" s="641"/>
      <c r="Q451" s="641"/>
      <c r="R451" s="641"/>
      <c r="S451" s="641"/>
      <c r="T451" s="641"/>
      <c r="U451" s="641"/>
      <c r="V451" s="648" t="e">
        <f t="shared" si="137"/>
        <v>#DIV/0!</v>
      </c>
      <c r="W451" s="644"/>
      <c r="X451" s="584" t="e">
        <f t="shared" si="134"/>
        <v>#DIV/0!</v>
      </c>
      <c r="Y451" s="584" t="e">
        <f t="shared" si="134"/>
        <v>#DIV/0!</v>
      </c>
      <c r="Z451" s="584" t="e">
        <f t="shared" si="134"/>
        <v>#DIV/0!</v>
      </c>
      <c r="AA451" s="584" t="e">
        <f t="shared" si="134"/>
        <v>#DIV/0!</v>
      </c>
    </row>
    <row r="452" spans="1:27" ht="22.5" hidden="1" customHeight="1" thickTop="1" thickBot="1" x14ac:dyDescent="0.3">
      <c r="A452" s="451">
        <v>1</v>
      </c>
      <c r="B452" s="450" t="s">
        <v>1343</v>
      </c>
      <c r="C452" s="450" t="s">
        <v>1413</v>
      </c>
      <c r="D452" s="450" t="s">
        <v>1391</v>
      </c>
      <c r="E452" s="450" t="s">
        <v>1350</v>
      </c>
      <c r="F452" s="450" t="s">
        <v>1350</v>
      </c>
      <c r="G452" s="450" t="s">
        <v>1361</v>
      </c>
      <c r="H452" s="450"/>
      <c r="I452" s="450"/>
      <c r="J452" s="450"/>
      <c r="K452" s="647" t="s">
        <v>2451</v>
      </c>
      <c r="L452" s="641"/>
      <c r="M452" s="641"/>
      <c r="N452" s="641"/>
      <c r="O452" s="641">
        <f t="shared" si="144"/>
        <v>0</v>
      </c>
      <c r="P452" s="641"/>
      <c r="Q452" s="641"/>
      <c r="R452" s="641"/>
      <c r="S452" s="641"/>
      <c r="T452" s="641"/>
      <c r="U452" s="641"/>
      <c r="V452" s="648" t="e">
        <f t="shared" si="137"/>
        <v>#DIV/0!</v>
      </c>
      <c r="W452" s="644"/>
      <c r="X452" s="584" t="e">
        <f t="shared" si="134"/>
        <v>#DIV/0!</v>
      </c>
      <c r="Y452" s="584" t="e">
        <f t="shared" si="134"/>
        <v>#DIV/0!</v>
      </c>
      <c r="Z452" s="584" t="e">
        <f t="shared" si="134"/>
        <v>#DIV/0!</v>
      </c>
      <c r="AA452" s="584" t="e">
        <f t="shared" si="134"/>
        <v>#DIV/0!</v>
      </c>
    </row>
    <row r="453" spans="1:27" ht="22.5" hidden="1" customHeight="1" thickTop="1" thickBot="1" x14ac:dyDescent="0.3">
      <c r="A453" s="451">
        <v>1</v>
      </c>
      <c r="B453" s="450" t="s">
        <v>1343</v>
      </c>
      <c r="C453" s="450" t="s">
        <v>1413</v>
      </c>
      <c r="D453" s="450" t="s">
        <v>1391</v>
      </c>
      <c r="E453" s="450" t="s">
        <v>1350</v>
      </c>
      <c r="F453" s="450" t="s">
        <v>1350</v>
      </c>
      <c r="G453" s="450" t="s">
        <v>1390</v>
      </c>
      <c r="H453" s="450"/>
      <c r="I453" s="450"/>
      <c r="J453" s="450"/>
      <c r="K453" s="647" t="s">
        <v>2452</v>
      </c>
      <c r="L453" s="641"/>
      <c r="M453" s="641"/>
      <c r="N453" s="641"/>
      <c r="O453" s="641">
        <f t="shared" si="144"/>
        <v>0</v>
      </c>
      <c r="P453" s="641"/>
      <c r="Q453" s="641"/>
      <c r="R453" s="641"/>
      <c r="S453" s="641"/>
      <c r="T453" s="641"/>
      <c r="U453" s="641"/>
      <c r="V453" s="648" t="e">
        <f t="shared" si="137"/>
        <v>#DIV/0!</v>
      </c>
      <c r="W453" s="644"/>
      <c r="X453" s="584" t="e">
        <f t="shared" si="134"/>
        <v>#DIV/0!</v>
      </c>
      <c r="Y453" s="584" t="e">
        <f t="shared" si="134"/>
        <v>#DIV/0!</v>
      </c>
      <c r="Z453" s="584" t="e">
        <f t="shared" si="134"/>
        <v>#DIV/0!</v>
      </c>
      <c r="AA453" s="584" t="e">
        <f t="shared" si="134"/>
        <v>#DIV/0!</v>
      </c>
    </row>
    <row r="454" spans="1:27" ht="22.5" hidden="1" customHeight="1" thickTop="1" thickBot="1" x14ac:dyDescent="0.3">
      <c r="A454" s="451">
        <v>1</v>
      </c>
      <c r="B454" s="450" t="s">
        <v>1343</v>
      </c>
      <c r="C454" s="450" t="s">
        <v>1413</v>
      </c>
      <c r="D454" s="450" t="s">
        <v>1391</v>
      </c>
      <c r="E454" s="450" t="s">
        <v>1350</v>
      </c>
      <c r="F454" s="450" t="s">
        <v>1350</v>
      </c>
      <c r="G454" s="450" t="s">
        <v>1391</v>
      </c>
      <c r="H454" s="450"/>
      <c r="I454" s="450"/>
      <c r="J454" s="450"/>
      <c r="K454" s="647" t="s">
        <v>2453</v>
      </c>
      <c r="L454" s="641"/>
      <c r="M454" s="641"/>
      <c r="N454" s="641"/>
      <c r="O454" s="641">
        <f t="shared" si="144"/>
        <v>0</v>
      </c>
      <c r="P454" s="641"/>
      <c r="Q454" s="641"/>
      <c r="R454" s="641"/>
      <c r="S454" s="641"/>
      <c r="T454" s="641"/>
      <c r="U454" s="641"/>
      <c r="V454" s="648" t="e">
        <f t="shared" si="137"/>
        <v>#DIV/0!</v>
      </c>
      <c r="W454" s="644"/>
      <c r="X454" s="584" t="e">
        <f t="shared" si="134"/>
        <v>#DIV/0!</v>
      </c>
      <c r="Y454" s="584" t="e">
        <f t="shared" si="134"/>
        <v>#DIV/0!</v>
      </c>
      <c r="Z454" s="584" t="e">
        <f t="shared" si="134"/>
        <v>#DIV/0!</v>
      </c>
      <c r="AA454" s="584" t="e">
        <f t="shared" si="134"/>
        <v>#DIV/0!</v>
      </c>
    </row>
    <row r="455" spans="1:27" ht="22.5" hidden="1" customHeight="1" thickTop="1" thickBot="1" x14ac:dyDescent="0.3">
      <c r="A455" s="451">
        <v>1</v>
      </c>
      <c r="B455" s="450" t="s">
        <v>1343</v>
      </c>
      <c r="C455" s="450" t="s">
        <v>1413</v>
      </c>
      <c r="D455" s="450" t="s">
        <v>1391</v>
      </c>
      <c r="E455" s="450" t="s">
        <v>1350</v>
      </c>
      <c r="F455" s="450" t="s">
        <v>1350</v>
      </c>
      <c r="G455" s="450" t="s">
        <v>1392</v>
      </c>
      <c r="H455" s="450"/>
      <c r="I455" s="450"/>
      <c r="J455" s="450"/>
      <c r="K455" s="647" t="s">
        <v>2454</v>
      </c>
      <c r="L455" s="641"/>
      <c r="M455" s="641"/>
      <c r="N455" s="641"/>
      <c r="O455" s="641">
        <f t="shared" si="144"/>
        <v>0</v>
      </c>
      <c r="P455" s="641"/>
      <c r="Q455" s="641"/>
      <c r="R455" s="641"/>
      <c r="S455" s="641"/>
      <c r="T455" s="641"/>
      <c r="U455" s="641"/>
      <c r="V455" s="648" t="e">
        <f t="shared" si="137"/>
        <v>#DIV/0!</v>
      </c>
      <c r="W455" s="644"/>
      <c r="X455" s="584" t="e">
        <f t="shared" si="134"/>
        <v>#DIV/0!</v>
      </c>
      <c r="Y455" s="584" t="e">
        <f t="shared" si="134"/>
        <v>#DIV/0!</v>
      </c>
      <c r="Z455" s="584" t="e">
        <f t="shared" si="134"/>
        <v>#DIV/0!</v>
      </c>
      <c r="AA455" s="584" t="e">
        <f t="shared" ref="AA455:AA518" si="145">+S455/$O455</f>
        <v>#DIV/0!</v>
      </c>
    </row>
    <row r="456" spans="1:27" ht="22.5" hidden="1" customHeight="1" thickTop="1" thickBot="1" x14ac:dyDescent="0.3">
      <c r="A456" s="451">
        <v>1</v>
      </c>
      <c r="B456" s="450" t="s">
        <v>1343</v>
      </c>
      <c r="C456" s="450" t="s">
        <v>1413</v>
      </c>
      <c r="D456" s="450" t="s">
        <v>1391</v>
      </c>
      <c r="E456" s="450" t="s">
        <v>1350</v>
      </c>
      <c r="F456" s="450" t="s">
        <v>1350</v>
      </c>
      <c r="G456" s="450" t="s">
        <v>1393</v>
      </c>
      <c r="H456" s="450"/>
      <c r="I456" s="450"/>
      <c r="J456" s="450"/>
      <c r="K456" s="647" t="s">
        <v>2455</v>
      </c>
      <c r="L456" s="641"/>
      <c r="M456" s="641"/>
      <c r="N456" s="641"/>
      <c r="O456" s="641">
        <f t="shared" si="144"/>
        <v>0</v>
      </c>
      <c r="P456" s="641"/>
      <c r="Q456" s="641"/>
      <c r="R456" s="641"/>
      <c r="S456" s="641"/>
      <c r="T456" s="641"/>
      <c r="U456" s="641"/>
      <c r="V456" s="648" t="e">
        <f t="shared" si="137"/>
        <v>#DIV/0!</v>
      </c>
      <c r="W456" s="644"/>
      <c r="X456" s="584" t="e">
        <f t="shared" ref="X456:AA519" si="146">+P456/$O456</f>
        <v>#DIV/0!</v>
      </c>
      <c r="Y456" s="584" t="e">
        <f t="shared" si="146"/>
        <v>#DIV/0!</v>
      </c>
      <c r="Z456" s="584" t="e">
        <f t="shared" si="146"/>
        <v>#DIV/0!</v>
      </c>
      <c r="AA456" s="584" t="e">
        <f t="shared" si="145"/>
        <v>#DIV/0!</v>
      </c>
    </row>
    <row r="457" spans="1:27" ht="22.5" hidden="1" customHeight="1" thickTop="1" thickBot="1" x14ac:dyDescent="0.3">
      <c r="A457" s="451">
        <v>1</v>
      </c>
      <c r="B457" s="450" t="s">
        <v>1343</v>
      </c>
      <c r="C457" s="450" t="s">
        <v>1413</v>
      </c>
      <c r="D457" s="450" t="s">
        <v>1391</v>
      </c>
      <c r="E457" s="450" t="s">
        <v>1350</v>
      </c>
      <c r="F457" s="450" t="s">
        <v>1350</v>
      </c>
      <c r="G457" s="450" t="s">
        <v>2151</v>
      </c>
      <c r="H457" s="450"/>
      <c r="I457" s="450"/>
      <c r="J457" s="450"/>
      <c r="K457" s="647" t="s">
        <v>2456</v>
      </c>
      <c r="L457" s="641"/>
      <c r="M457" s="641"/>
      <c r="N457" s="641"/>
      <c r="O457" s="641">
        <f t="shared" si="144"/>
        <v>0</v>
      </c>
      <c r="P457" s="641"/>
      <c r="Q457" s="641"/>
      <c r="R457" s="641"/>
      <c r="S457" s="641"/>
      <c r="T457" s="641"/>
      <c r="U457" s="641"/>
      <c r="V457" s="648" t="e">
        <f t="shared" si="137"/>
        <v>#DIV/0!</v>
      </c>
      <c r="W457" s="644"/>
      <c r="X457" s="584" t="e">
        <f t="shared" si="146"/>
        <v>#DIV/0!</v>
      </c>
      <c r="Y457" s="584" t="e">
        <f t="shared" si="146"/>
        <v>#DIV/0!</v>
      </c>
      <c r="Z457" s="584" t="e">
        <f t="shared" si="146"/>
        <v>#DIV/0!</v>
      </c>
      <c r="AA457" s="584" t="e">
        <f t="shared" si="145"/>
        <v>#DIV/0!</v>
      </c>
    </row>
    <row r="458" spans="1:27" ht="22.5" hidden="1" customHeight="1" thickTop="1" thickBot="1" x14ac:dyDescent="0.3">
      <c r="A458" s="451">
        <v>1</v>
      </c>
      <c r="B458" s="450" t="s">
        <v>1343</v>
      </c>
      <c r="C458" s="450" t="s">
        <v>1413</v>
      </c>
      <c r="D458" s="450" t="s">
        <v>1391</v>
      </c>
      <c r="E458" s="450" t="s">
        <v>1350</v>
      </c>
      <c r="F458" s="450" t="s">
        <v>1350</v>
      </c>
      <c r="G458" s="450" t="s">
        <v>2215</v>
      </c>
      <c r="H458" s="450"/>
      <c r="I458" s="450"/>
      <c r="J458" s="450"/>
      <c r="K458" s="647" t="s">
        <v>2457</v>
      </c>
      <c r="L458" s="641"/>
      <c r="M458" s="641"/>
      <c r="N458" s="641"/>
      <c r="O458" s="641">
        <f t="shared" si="144"/>
        <v>0</v>
      </c>
      <c r="P458" s="641"/>
      <c r="Q458" s="641"/>
      <c r="R458" s="641"/>
      <c r="S458" s="641"/>
      <c r="T458" s="641"/>
      <c r="U458" s="641"/>
      <c r="V458" s="648" t="e">
        <f t="shared" si="137"/>
        <v>#DIV/0!</v>
      </c>
      <c r="W458" s="644"/>
      <c r="X458" s="584" t="e">
        <f t="shared" si="146"/>
        <v>#DIV/0!</v>
      </c>
      <c r="Y458" s="584" t="e">
        <f t="shared" si="146"/>
        <v>#DIV/0!</v>
      </c>
      <c r="Z458" s="584" t="e">
        <f t="shared" si="146"/>
        <v>#DIV/0!</v>
      </c>
      <c r="AA458" s="584" t="e">
        <f t="shared" si="145"/>
        <v>#DIV/0!</v>
      </c>
    </row>
    <row r="459" spans="1:27" ht="22.5" hidden="1" customHeight="1" thickTop="1" thickBot="1" x14ac:dyDescent="0.3">
      <c r="A459" s="451">
        <v>1</v>
      </c>
      <c r="B459" s="450" t="s">
        <v>1343</v>
      </c>
      <c r="C459" s="450" t="s">
        <v>1413</v>
      </c>
      <c r="D459" s="450" t="s">
        <v>1391</v>
      </c>
      <c r="E459" s="450" t="s">
        <v>1350</v>
      </c>
      <c r="F459" s="450" t="s">
        <v>1350</v>
      </c>
      <c r="G459" s="450" t="s">
        <v>2338</v>
      </c>
      <c r="H459" s="450"/>
      <c r="I459" s="450"/>
      <c r="J459" s="450"/>
      <c r="K459" s="647" t="s">
        <v>2458</v>
      </c>
      <c r="L459" s="641"/>
      <c r="M459" s="641"/>
      <c r="N459" s="641"/>
      <c r="O459" s="641">
        <f t="shared" si="144"/>
        <v>0</v>
      </c>
      <c r="P459" s="641"/>
      <c r="Q459" s="641"/>
      <c r="R459" s="641"/>
      <c r="S459" s="641"/>
      <c r="T459" s="641"/>
      <c r="U459" s="641"/>
      <c r="V459" s="648" t="e">
        <f t="shared" si="137"/>
        <v>#DIV/0!</v>
      </c>
      <c r="W459" s="644"/>
      <c r="X459" s="584" t="e">
        <f t="shared" si="146"/>
        <v>#DIV/0!</v>
      </c>
      <c r="Y459" s="584" t="e">
        <f t="shared" si="146"/>
        <v>#DIV/0!</v>
      </c>
      <c r="Z459" s="584" t="e">
        <f t="shared" si="146"/>
        <v>#DIV/0!</v>
      </c>
      <c r="AA459" s="584" t="e">
        <f t="shared" si="145"/>
        <v>#DIV/0!</v>
      </c>
    </row>
    <row r="460" spans="1:27" ht="22.5" hidden="1" customHeight="1" thickTop="1" thickBot="1" x14ac:dyDescent="0.3">
      <c r="A460" s="451">
        <v>1</v>
      </c>
      <c r="B460" s="450" t="s">
        <v>1343</v>
      </c>
      <c r="C460" s="450" t="s">
        <v>1413</v>
      </c>
      <c r="D460" s="450" t="s">
        <v>1391</v>
      </c>
      <c r="E460" s="450" t="s">
        <v>1350</v>
      </c>
      <c r="F460" s="450" t="s">
        <v>1350</v>
      </c>
      <c r="G460" s="450" t="s">
        <v>2340</v>
      </c>
      <c r="H460" s="450"/>
      <c r="I460" s="450"/>
      <c r="J460" s="450"/>
      <c r="K460" s="647" t="s">
        <v>2459</v>
      </c>
      <c r="L460" s="641"/>
      <c r="M460" s="641"/>
      <c r="N460" s="641"/>
      <c r="O460" s="641">
        <f t="shared" si="144"/>
        <v>0</v>
      </c>
      <c r="P460" s="641"/>
      <c r="Q460" s="641"/>
      <c r="R460" s="641"/>
      <c r="S460" s="641"/>
      <c r="T460" s="641"/>
      <c r="U460" s="641"/>
      <c r="V460" s="648" t="e">
        <f t="shared" si="137"/>
        <v>#DIV/0!</v>
      </c>
      <c r="W460" s="644"/>
      <c r="X460" s="584" t="e">
        <f t="shared" si="146"/>
        <v>#DIV/0!</v>
      </c>
      <c r="Y460" s="584" t="e">
        <f t="shared" si="146"/>
        <v>#DIV/0!</v>
      </c>
      <c r="Z460" s="584" t="e">
        <f t="shared" si="146"/>
        <v>#DIV/0!</v>
      </c>
      <c r="AA460" s="584" t="e">
        <f t="shared" si="145"/>
        <v>#DIV/0!</v>
      </c>
    </row>
    <row r="461" spans="1:27" ht="22.5" hidden="1" customHeight="1" thickTop="1" thickBot="1" x14ac:dyDescent="0.3">
      <c r="A461" s="451">
        <v>1</v>
      </c>
      <c r="B461" s="450" t="s">
        <v>1343</v>
      </c>
      <c r="C461" s="450" t="s">
        <v>1413</v>
      </c>
      <c r="D461" s="450" t="s">
        <v>1391</v>
      </c>
      <c r="E461" s="450" t="s">
        <v>1350</v>
      </c>
      <c r="F461" s="450" t="s">
        <v>1350</v>
      </c>
      <c r="G461" s="450" t="s">
        <v>2342</v>
      </c>
      <c r="H461" s="450"/>
      <c r="I461" s="450"/>
      <c r="J461" s="450"/>
      <c r="K461" s="647" t="s">
        <v>2460</v>
      </c>
      <c r="L461" s="641"/>
      <c r="M461" s="641"/>
      <c r="N461" s="641"/>
      <c r="O461" s="641">
        <f t="shared" si="144"/>
        <v>0</v>
      </c>
      <c r="P461" s="641"/>
      <c r="Q461" s="641"/>
      <c r="R461" s="641"/>
      <c r="S461" s="641"/>
      <c r="T461" s="641"/>
      <c r="U461" s="641"/>
      <c r="V461" s="648" t="e">
        <f t="shared" si="137"/>
        <v>#DIV/0!</v>
      </c>
      <c r="W461" s="644"/>
      <c r="X461" s="584" t="e">
        <f t="shared" si="146"/>
        <v>#DIV/0!</v>
      </c>
      <c r="Y461" s="584" t="e">
        <f t="shared" si="146"/>
        <v>#DIV/0!</v>
      </c>
      <c r="Z461" s="584" t="e">
        <f t="shared" si="146"/>
        <v>#DIV/0!</v>
      </c>
      <c r="AA461" s="584" t="e">
        <f t="shared" si="145"/>
        <v>#DIV/0!</v>
      </c>
    </row>
    <row r="462" spans="1:27" ht="22.5" hidden="1" customHeight="1" thickTop="1" thickBot="1" x14ac:dyDescent="0.3">
      <c r="A462" s="451">
        <v>1</v>
      </c>
      <c r="B462" s="450" t="s">
        <v>1343</v>
      </c>
      <c r="C462" s="450" t="s">
        <v>1413</v>
      </c>
      <c r="D462" s="450" t="s">
        <v>1391</v>
      </c>
      <c r="E462" s="450" t="s">
        <v>1350</v>
      </c>
      <c r="F462" s="450" t="s">
        <v>1350</v>
      </c>
      <c r="G462" s="450" t="s">
        <v>2344</v>
      </c>
      <c r="H462" s="450"/>
      <c r="I462" s="450"/>
      <c r="J462" s="450"/>
      <c r="K462" s="647" t="s">
        <v>2461</v>
      </c>
      <c r="L462" s="641"/>
      <c r="M462" s="641"/>
      <c r="N462" s="641"/>
      <c r="O462" s="641">
        <f t="shared" si="144"/>
        <v>0</v>
      </c>
      <c r="P462" s="641"/>
      <c r="Q462" s="641"/>
      <c r="R462" s="641"/>
      <c r="S462" s="641"/>
      <c r="T462" s="641"/>
      <c r="U462" s="641"/>
      <c r="V462" s="648" t="e">
        <f t="shared" ref="V462:V527" si="147">+U462/T462</f>
        <v>#DIV/0!</v>
      </c>
      <c r="W462" s="644"/>
      <c r="X462" s="584" t="e">
        <f t="shared" si="146"/>
        <v>#DIV/0!</v>
      </c>
      <c r="Y462" s="584" t="e">
        <f t="shared" si="146"/>
        <v>#DIV/0!</v>
      </c>
      <c r="Z462" s="584" t="e">
        <f t="shared" si="146"/>
        <v>#DIV/0!</v>
      </c>
      <c r="AA462" s="584" t="e">
        <f t="shared" si="145"/>
        <v>#DIV/0!</v>
      </c>
    </row>
    <row r="463" spans="1:27" ht="22.5" hidden="1" customHeight="1" thickTop="1" thickBot="1" x14ac:dyDescent="0.3">
      <c r="A463" s="451">
        <v>1</v>
      </c>
      <c r="B463" s="450" t="s">
        <v>1343</v>
      </c>
      <c r="C463" s="450" t="s">
        <v>1413</v>
      </c>
      <c r="D463" s="450" t="s">
        <v>1391</v>
      </c>
      <c r="E463" s="450" t="s">
        <v>1350</v>
      </c>
      <c r="F463" s="450" t="s">
        <v>1350</v>
      </c>
      <c r="G463" s="450" t="s">
        <v>2346</v>
      </c>
      <c r="H463" s="450"/>
      <c r="I463" s="450"/>
      <c r="J463" s="450"/>
      <c r="K463" s="647" t="s">
        <v>2462</v>
      </c>
      <c r="L463" s="641"/>
      <c r="M463" s="641"/>
      <c r="N463" s="641"/>
      <c r="O463" s="641">
        <f t="shared" si="144"/>
        <v>0</v>
      </c>
      <c r="P463" s="641"/>
      <c r="Q463" s="641"/>
      <c r="R463" s="641"/>
      <c r="S463" s="641"/>
      <c r="T463" s="641"/>
      <c r="U463" s="641"/>
      <c r="V463" s="648" t="e">
        <f t="shared" si="147"/>
        <v>#DIV/0!</v>
      </c>
      <c r="W463" s="644"/>
      <c r="X463" s="584" t="e">
        <f t="shared" si="146"/>
        <v>#DIV/0!</v>
      </c>
      <c r="Y463" s="584" t="e">
        <f t="shared" si="146"/>
        <v>#DIV/0!</v>
      </c>
      <c r="Z463" s="584" t="e">
        <f t="shared" si="146"/>
        <v>#DIV/0!</v>
      </c>
      <c r="AA463" s="584" t="e">
        <f t="shared" si="145"/>
        <v>#DIV/0!</v>
      </c>
    </row>
    <row r="464" spans="1:27" ht="22.5" hidden="1" customHeight="1" thickTop="1" thickBot="1" x14ac:dyDescent="0.3">
      <c r="A464" s="451">
        <v>1</v>
      </c>
      <c r="B464" s="450" t="s">
        <v>1343</v>
      </c>
      <c r="C464" s="450" t="s">
        <v>1413</v>
      </c>
      <c r="D464" s="450" t="s">
        <v>1391</v>
      </c>
      <c r="E464" s="450" t="s">
        <v>1350</v>
      </c>
      <c r="F464" s="450" t="s">
        <v>1350</v>
      </c>
      <c r="G464" s="450" t="s">
        <v>2348</v>
      </c>
      <c r="H464" s="450"/>
      <c r="I464" s="450"/>
      <c r="J464" s="450"/>
      <c r="K464" s="647" t="s">
        <v>2463</v>
      </c>
      <c r="L464" s="641"/>
      <c r="M464" s="641"/>
      <c r="N464" s="641"/>
      <c r="O464" s="641">
        <f t="shared" si="144"/>
        <v>0</v>
      </c>
      <c r="P464" s="641"/>
      <c r="Q464" s="641"/>
      <c r="R464" s="641"/>
      <c r="S464" s="641"/>
      <c r="T464" s="641"/>
      <c r="U464" s="641"/>
      <c r="V464" s="648" t="e">
        <f t="shared" si="147"/>
        <v>#DIV/0!</v>
      </c>
      <c r="W464" s="644"/>
      <c r="X464" s="584" t="e">
        <f t="shared" si="146"/>
        <v>#DIV/0!</v>
      </c>
      <c r="Y464" s="584" t="e">
        <f t="shared" si="146"/>
        <v>#DIV/0!</v>
      </c>
      <c r="Z464" s="584" t="e">
        <f t="shared" si="146"/>
        <v>#DIV/0!</v>
      </c>
      <c r="AA464" s="584" t="e">
        <f t="shared" si="145"/>
        <v>#DIV/0!</v>
      </c>
    </row>
    <row r="465" spans="1:27" ht="22.5" hidden="1" customHeight="1" thickTop="1" thickBot="1" x14ac:dyDescent="0.3">
      <c r="A465" s="451">
        <v>1</v>
      </c>
      <c r="B465" s="450" t="s">
        <v>1343</v>
      </c>
      <c r="C465" s="450" t="s">
        <v>1413</v>
      </c>
      <c r="D465" s="450" t="s">
        <v>1391</v>
      </c>
      <c r="E465" s="450" t="s">
        <v>1350</v>
      </c>
      <c r="F465" s="450" t="s">
        <v>1350</v>
      </c>
      <c r="G465" s="450" t="s">
        <v>2350</v>
      </c>
      <c r="H465" s="450"/>
      <c r="I465" s="450"/>
      <c r="J465" s="450"/>
      <c r="K465" s="647" t="s">
        <v>2464</v>
      </c>
      <c r="L465" s="641"/>
      <c r="M465" s="641"/>
      <c r="N465" s="641"/>
      <c r="O465" s="641">
        <f t="shared" si="144"/>
        <v>0</v>
      </c>
      <c r="P465" s="641"/>
      <c r="Q465" s="641"/>
      <c r="R465" s="641"/>
      <c r="S465" s="641"/>
      <c r="T465" s="641"/>
      <c r="U465" s="641"/>
      <c r="V465" s="648" t="e">
        <f t="shared" si="147"/>
        <v>#DIV/0!</v>
      </c>
      <c r="W465" s="644"/>
      <c r="X465" s="584" t="e">
        <f t="shared" si="146"/>
        <v>#DIV/0!</v>
      </c>
      <c r="Y465" s="584" t="e">
        <f t="shared" si="146"/>
        <v>#DIV/0!</v>
      </c>
      <c r="Z465" s="584" t="e">
        <f t="shared" si="146"/>
        <v>#DIV/0!</v>
      </c>
      <c r="AA465" s="584" t="e">
        <f t="shared" si="145"/>
        <v>#DIV/0!</v>
      </c>
    </row>
    <row r="466" spans="1:27" ht="22.5" hidden="1" customHeight="1" thickTop="1" thickBot="1" x14ac:dyDescent="0.3">
      <c r="A466" s="451">
        <v>1</v>
      </c>
      <c r="B466" s="450" t="s">
        <v>1343</v>
      </c>
      <c r="C466" s="450" t="s">
        <v>1413</v>
      </c>
      <c r="D466" s="450" t="s">
        <v>1391</v>
      </c>
      <c r="E466" s="450" t="s">
        <v>1350</v>
      </c>
      <c r="F466" s="450" t="s">
        <v>1350</v>
      </c>
      <c r="G466" s="450" t="s">
        <v>2156</v>
      </c>
      <c r="H466" s="450"/>
      <c r="I466" s="450"/>
      <c r="J466" s="450"/>
      <c r="K466" s="647" t="s">
        <v>2465</v>
      </c>
      <c r="L466" s="641"/>
      <c r="M466" s="641"/>
      <c r="N466" s="641"/>
      <c r="O466" s="641">
        <f t="shared" si="144"/>
        <v>0</v>
      </c>
      <c r="P466" s="641"/>
      <c r="Q466" s="641"/>
      <c r="R466" s="641"/>
      <c r="S466" s="641"/>
      <c r="T466" s="641"/>
      <c r="U466" s="641"/>
      <c r="V466" s="648" t="e">
        <f t="shared" si="147"/>
        <v>#DIV/0!</v>
      </c>
      <c r="W466" s="644"/>
      <c r="X466" s="584" t="e">
        <f t="shared" si="146"/>
        <v>#DIV/0!</v>
      </c>
      <c r="Y466" s="584" t="e">
        <f t="shared" si="146"/>
        <v>#DIV/0!</v>
      </c>
      <c r="Z466" s="584" t="e">
        <f t="shared" si="146"/>
        <v>#DIV/0!</v>
      </c>
      <c r="AA466" s="584" t="e">
        <f t="shared" si="145"/>
        <v>#DIV/0!</v>
      </c>
    </row>
    <row r="467" spans="1:27" ht="22.5" hidden="1" customHeight="1" thickTop="1" thickBot="1" x14ac:dyDescent="0.3">
      <c r="A467" s="451">
        <v>1</v>
      </c>
      <c r="B467" s="450" t="s">
        <v>1343</v>
      </c>
      <c r="C467" s="450" t="s">
        <v>1413</v>
      </c>
      <c r="D467" s="450" t="s">
        <v>1391</v>
      </c>
      <c r="E467" s="450" t="s">
        <v>1350</v>
      </c>
      <c r="F467" s="450" t="s">
        <v>1350</v>
      </c>
      <c r="G467" s="450" t="s">
        <v>2353</v>
      </c>
      <c r="H467" s="450"/>
      <c r="I467" s="450"/>
      <c r="J467" s="450"/>
      <c r="K467" s="647" t="s">
        <v>2466</v>
      </c>
      <c r="L467" s="641"/>
      <c r="M467" s="641"/>
      <c r="N467" s="641"/>
      <c r="O467" s="641">
        <f t="shared" si="144"/>
        <v>0</v>
      </c>
      <c r="P467" s="641"/>
      <c r="Q467" s="641"/>
      <c r="R467" s="641"/>
      <c r="S467" s="641"/>
      <c r="T467" s="641"/>
      <c r="U467" s="641"/>
      <c r="V467" s="648" t="e">
        <f t="shared" si="147"/>
        <v>#DIV/0!</v>
      </c>
      <c r="W467" s="644"/>
      <c r="X467" s="584" t="e">
        <f t="shared" si="146"/>
        <v>#DIV/0!</v>
      </c>
      <c r="Y467" s="584" t="e">
        <f t="shared" si="146"/>
        <v>#DIV/0!</v>
      </c>
      <c r="Z467" s="584" t="e">
        <f t="shared" si="146"/>
        <v>#DIV/0!</v>
      </c>
      <c r="AA467" s="584" t="e">
        <f t="shared" si="145"/>
        <v>#DIV/0!</v>
      </c>
    </row>
    <row r="468" spans="1:27" ht="22.5" hidden="1" customHeight="1" thickTop="1" thickBot="1" x14ac:dyDescent="0.3">
      <c r="A468" s="451">
        <v>1</v>
      </c>
      <c r="B468" s="450" t="s">
        <v>1343</v>
      </c>
      <c r="C468" s="450" t="s">
        <v>1413</v>
      </c>
      <c r="D468" s="450" t="s">
        <v>1391</v>
      </c>
      <c r="E468" s="450" t="s">
        <v>1350</v>
      </c>
      <c r="F468" s="450" t="s">
        <v>1350</v>
      </c>
      <c r="G468" s="450" t="s">
        <v>2355</v>
      </c>
      <c r="H468" s="450"/>
      <c r="I468" s="450"/>
      <c r="J468" s="450"/>
      <c r="K468" s="647" t="s">
        <v>2467</v>
      </c>
      <c r="L468" s="641"/>
      <c r="M468" s="641"/>
      <c r="N468" s="641"/>
      <c r="O468" s="641">
        <f t="shared" si="144"/>
        <v>0</v>
      </c>
      <c r="P468" s="641"/>
      <c r="Q468" s="641"/>
      <c r="R468" s="641"/>
      <c r="S468" s="641"/>
      <c r="T468" s="641"/>
      <c r="U468" s="641"/>
      <c r="V468" s="648" t="e">
        <f t="shared" si="147"/>
        <v>#DIV/0!</v>
      </c>
      <c r="W468" s="644"/>
      <c r="X468" s="584" t="e">
        <f t="shared" si="146"/>
        <v>#DIV/0!</v>
      </c>
      <c r="Y468" s="584" t="e">
        <f t="shared" si="146"/>
        <v>#DIV/0!</v>
      </c>
      <c r="Z468" s="584" t="e">
        <f t="shared" si="146"/>
        <v>#DIV/0!</v>
      </c>
      <c r="AA468" s="584" t="e">
        <f t="shared" si="145"/>
        <v>#DIV/0!</v>
      </c>
    </row>
    <row r="469" spans="1:27" ht="22.5" hidden="1" customHeight="1" thickTop="1" thickBot="1" x14ac:dyDescent="0.3">
      <c r="A469" s="451">
        <v>1</v>
      </c>
      <c r="B469" s="450" t="s">
        <v>1343</v>
      </c>
      <c r="C469" s="450" t="s">
        <v>1413</v>
      </c>
      <c r="D469" s="450" t="s">
        <v>1391</v>
      </c>
      <c r="E469" s="450" t="s">
        <v>1350</v>
      </c>
      <c r="F469" s="450" t="s">
        <v>1350</v>
      </c>
      <c r="G469" s="450" t="s">
        <v>2357</v>
      </c>
      <c r="H469" s="450"/>
      <c r="I469" s="450"/>
      <c r="J469" s="450"/>
      <c r="K469" s="647" t="s">
        <v>2468</v>
      </c>
      <c r="L469" s="641"/>
      <c r="M469" s="641"/>
      <c r="N469" s="641"/>
      <c r="O469" s="641">
        <f t="shared" si="144"/>
        <v>0</v>
      </c>
      <c r="P469" s="641"/>
      <c r="Q469" s="641"/>
      <c r="R469" s="641"/>
      <c r="S469" s="641"/>
      <c r="T469" s="641"/>
      <c r="U469" s="641"/>
      <c r="V469" s="648" t="e">
        <f t="shared" si="147"/>
        <v>#DIV/0!</v>
      </c>
      <c r="W469" s="644"/>
      <c r="X469" s="584" t="e">
        <f t="shared" si="146"/>
        <v>#DIV/0!</v>
      </c>
      <c r="Y469" s="584" t="e">
        <f t="shared" si="146"/>
        <v>#DIV/0!</v>
      </c>
      <c r="Z469" s="584" t="e">
        <f t="shared" si="146"/>
        <v>#DIV/0!</v>
      </c>
      <c r="AA469" s="584" t="e">
        <f t="shared" si="145"/>
        <v>#DIV/0!</v>
      </c>
    </row>
    <row r="470" spans="1:27" ht="22.5" hidden="1" customHeight="1" thickTop="1" thickBot="1" x14ac:dyDescent="0.3">
      <c r="A470" s="451">
        <v>1</v>
      </c>
      <c r="B470" s="450" t="s">
        <v>1343</v>
      </c>
      <c r="C470" s="450" t="s">
        <v>1413</v>
      </c>
      <c r="D470" s="450" t="s">
        <v>1391</v>
      </c>
      <c r="E470" s="450" t="s">
        <v>1350</v>
      </c>
      <c r="F470" s="450" t="s">
        <v>1350</v>
      </c>
      <c r="G470" s="450" t="s">
        <v>2359</v>
      </c>
      <c r="H470" s="450"/>
      <c r="I470" s="450"/>
      <c r="J470" s="450"/>
      <c r="K470" s="647" t="s">
        <v>2469</v>
      </c>
      <c r="L470" s="641"/>
      <c r="M470" s="641"/>
      <c r="N470" s="641"/>
      <c r="O470" s="641">
        <f t="shared" si="144"/>
        <v>0</v>
      </c>
      <c r="P470" s="641"/>
      <c r="Q470" s="641"/>
      <c r="R470" s="641"/>
      <c r="S470" s="641"/>
      <c r="T470" s="641"/>
      <c r="U470" s="641"/>
      <c r="V470" s="648" t="e">
        <f t="shared" si="147"/>
        <v>#DIV/0!</v>
      </c>
      <c r="W470" s="644"/>
      <c r="X470" s="584" t="e">
        <f t="shared" si="146"/>
        <v>#DIV/0!</v>
      </c>
      <c r="Y470" s="584" t="e">
        <f t="shared" si="146"/>
        <v>#DIV/0!</v>
      </c>
      <c r="Z470" s="584" t="e">
        <f t="shared" si="146"/>
        <v>#DIV/0!</v>
      </c>
      <c r="AA470" s="584" t="e">
        <f t="shared" si="145"/>
        <v>#DIV/0!</v>
      </c>
    </row>
    <row r="471" spans="1:27" ht="22.5" hidden="1" customHeight="1" thickTop="1" thickBot="1" x14ac:dyDescent="0.3">
      <c r="A471" s="451">
        <v>1</v>
      </c>
      <c r="B471" s="450" t="s">
        <v>1343</v>
      </c>
      <c r="C471" s="450" t="s">
        <v>1413</v>
      </c>
      <c r="D471" s="450" t="s">
        <v>1391</v>
      </c>
      <c r="E471" s="450" t="s">
        <v>1350</v>
      </c>
      <c r="F471" s="450" t="s">
        <v>1350</v>
      </c>
      <c r="G471" s="450" t="s">
        <v>2361</v>
      </c>
      <c r="H471" s="450"/>
      <c r="I471" s="450"/>
      <c r="J471" s="450"/>
      <c r="K471" s="647" t="s">
        <v>2470</v>
      </c>
      <c r="L471" s="641"/>
      <c r="M471" s="641"/>
      <c r="N471" s="641"/>
      <c r="O471" s="641">
        <f t="shared" si="144"/>
        <v>0</v>
      </c>
      <c r="P471" s="641"/>
      <c r="Q471" s="641"/>
      <c r="R471" s="641"/>
      <c r="S471" s="641"/>
      <c r="T471" s="641"/>
      <c r="U471" s="641"/>
      <c r="V471" s="648" t="e">
        <f t="shared" si="147"/>
        <v>#DIV/0!</v>
      </c>
      <c r="W471" s="644"/>
      <c r="X471" s="584" t="e">
        <f t="shared" si="146"/>
        <v>#DIV/0!</v>
      </c>
      <c r="Y471" s="584" t="e">
        <f t="shared" si="146"/>
        <v>#DIV/0!</v>
      </c>
      <c r="Z471" s="584" t="e">
        <f t="shared" si="146"/>
        <v>#DIV/0!</v>
      </c>
      <c r="AA471" s="584" t="e">
        <f t="shared" si="145"/>
        <v>#DIV/0!</v>
      </c>
    </row>
    <row r="472" spans="1:27" ht="22.5" hidden="1" customHeight="1" thickTop="1" thickBot="1" x14ac:dyDescent="0.3">
      <c r="A472" s="451">
        <v>1</v>
      </c>
      <c r="B472" s="450" t="s">
        <v>1343</v>
      </c>
      <c r="C472" s="450" t="s">
        <v>1413</v>
      </c>
      <c r="D472" s="450" t="s">
        <v>1391</v>
      </c>
      <c r="E472" s="450" t="s">
        <v>1350</v>
      </c>
      <c r="F472" s="450" t="s">
        <v>1350</v>
      </c>
      <c r="G472" s="450" t="s">
        <v>2363</v>
      </c>
      <c r="H472" s="450"/>
      <c r="I472" s="450"/>
      <c r="J472" s="450"/>
      <c r="K472" s="647" t="s">
        <v>2471</v>
      </c>
      <c r="L472" s="641"/>
      <c r="M472" s="641"/>
      <c r="N472" s="641"/>
      <c r="O472" s="641">
        <f t="shared" si="144"/>
        <v>0</v>
      </c>
      <c r="P472" s="641"/>
      <c r="Q472" s="641"/>
      <c r="R472" s="641"/>
      <c r="S472" s="641"/>
      <c r="T472" s="641"/>
      <c r="U472" s="641"/>
      <c r="V472" s="648" t="e">
        <f t="shared" si="147"/>
        <v>#DIV/0!</v>
      </c>
      <c r="W472" s="644"/>
      <c r="X472" s="584" t="e">
        <f t="shared" si="146"/>
        <v>#DIV/0!</v>
      </c>
      <c r="Y472" s="584" t="e">
        <f t="shared" si="146"/>
        <v>#DIV/0!</v>
      </c>
      <c r="Z472" s="584" t="e">
        <f t="shared" si="146"/>
        <v>#DIV/0!</v>
      </c>
      <c r="AA472" s="584" t="e">
        <f t="shared" si="145"/>
        <v>#DIV/0!</v>
      </c>
    </row>
    <row r="473" spans="1:27" ht="22.5" hidden="1" customHeight="1" thickTop="1" thickBot="1" x14ac:dyDescent="0.3">
      <c r="A473" s="451">
        <v>1</v>
      </c>
      <c r="B473" s="450" t="s">
        <v>1343</v>
      </c>
      <c r="C473" s="450" t="s">
        <v>1413</v>
      </c>
      <c r="D473" s="450" t="s">
        <v>1391</v>
      </c>
      <c r="E473" s="450" t="s">
        <v>1350</v>
      </c>
      <c r="F473" s="450" t="s">
        <v>1350</v>
      </c>
      <c r="G473" s="450" t="s">
        <v>2365</v>
      </c>
      <c r="H473" s="450"/>
      <c r="I473" s="450"/>
      <c r="J473" s="450"/>
      <c r="K473" s="647" t="s">
        <v>2472</v>
      </c>
      <c r="L473" s="641"/>
      <c r="M473" s="641"/>
      <c r="N473" s="641"/>
      <c r="O473" s="641">
        <f t="shared" si="144"/>
        <v>0</v>
      </c>
      <c r="P473" s="641"/>
      <c r="Q473" s="641"/>
      <c r="R473" s="641"/>
      <c r="S473" s="641"/>
      <c r="T473" s="641"/>
      <c r="U473" s="641"/>
      <c r="V473" s="648" t="e">
        <f t="shared" si="147"/>
        <v>#DIV/0!</v>
      </c>
      <c r="W473" s="644"/>
      <c r="X473" s="584" t="e">
        <f t="shared" si="146"/>
        <v>#DIV/0!</v>
      </c>
      <c r="Y473" s="584" t="e">
        <f t="shared" si="146"/>
        <v>#DIV/0!</v>
      </c>
      <c r="Z473" s="584" t="e">
        <f t="shared" si="146"/>
        <v>#DIV/0!</v>
      </c>
      <c r="AA473" s="584" t="e">
        <f t="shared" si="145"/>
        <v>#DIV/0!</v>
      </c>
    </row>
    <row r="474" spans="1:27" ht="22.5" hidden="1" customHeight="1" thickTop="1" thickBot="1" x14ac:dyDescent="0.3">
      <c r="A474" s="451">
        <v>1</v>
      </c>
      <c r="B474" s="450" t="s">
        <v>1343</v>
      </c>
      <c r="C474" s="450" t="s">
        <v>1413</v>
      </c>
      <c r="D474" s="450" t="s">
        <v>1391</v>
      </c>
      <c r="E474" s="450" t="s">
        <v>1350</v>
      </c>
      <c r="F474" s="450" t="s">
        <v>1350</v>
      </c>
      <c r="G474" s="450" t="s">
        <v>2367</v>
      </c>
      <c r="H474" s="450"/>
      <c r="I474" s="450"/>
      <c r="J474" s="450"/>
      <c r="K474" s="647" t="s">
        <v>2473</v>
      </c>
      <c r="L474" s="641"/>
      <c r="M474" s="641"/>
      <c r="N474" s="641"/>
      <c r="O474" s="641">
        <f t="shared" si="144"/>
        <v>0</v>
      </c>
      <c r="P474" s="641"/>
      <c r="Q474" s="641"/>
      <c r="R474" s="641"/>
      <c r="S474" s="641"/>
      <c r="T474" s="641"/>
      <c r="U474" s="641"/>
      <c r="V474" s="648" t="e">
        <f t="shared" si="147"/>
        <v>#DIV/0!</v>
      </c>
      <c r="W474" s="644"/>
      <c r="X474" s="584" t="e">
        <f t="shared" si="146"/>
        <v>#DIV/0!</v>
      </c>
      <c r="Y474" s="584" t="e">
        <f t="shared" si="146"/>
        <v>#DIV/0!</v>
      </c>
      <c r="Z474" s="584" t="e">
        <f t="shared" si="146"/>
        <v>#DIV/0!</v>
      </c>
      <c r="AA474" s="584" t="e">
        <f t="shared" si="145"/>
        <v>#DIV/0!</v>
      </c>
    </row>
    <row r="475" spans="1:27" ht="22.5" hidden="1" customHeight="1" thickTop="1" thickBot="1" x14ac:dyDescent="0.3">
      <c r="A475" s="451">
        <v>1</v>
      </c>
      <c r="B475" s="450" t="s">
        <v>1343</v>
      </c>
      <c r="C475" s="450" t="s">
        <v>1413</v>
      </c>
      <c r="D475" s="450" t="s">
        <v>1391</v>
      </c>
      <c r="E475" s="450" t="s">
        <v>1350</v>
      </c>
      <c r="F475" s="450" t="s">
        <v>1350</v>
      </c>
      <c r="G475" s="450" t="s">
        <v>2439</v>
      </c>
      <c r="H475" s="450"/>
      <c r="I475" s="450"/>
      <c r="J475" s="450"/>
      <c r="K475" s="647" t="s">
        <v>2474</v>
      </c>
      <c r="L475" s="641"/>
      <c r="M475" s="641"/>
      <c r="N475" s="641"/>
      <c r="O475" s="641">
        <f t="shared" si="144"/>
        <v>0</v>
      </c>
      <c r="P475" s="641"/>
      <c r="Q475" s="641"/>
      <c r="R475" s="641"/>
      <c r="S475" s="641"/>
      <c r="T475" s="641"/>
      <c r="U475" s="641"/>
      <c r="V475" s="648" t="e">
        <f t="shared" si="147"/>
        <v>#DIV/0!</v>
      </c>
      <c r="W475" s="644"/>
      <c r="X475" s="584" t="e">
        <f t="shared" si="146"/>
        <v>#DIV/0!</v>
      </c>
      <c r="Y475" s="584" t="e">
        <f t="shared" si="146"/>
        <v>#DIV/0!</v>
      </c>
      <c r="Z475" s="584" t="e">
        <f t="shared" si="146"/>
        <v>#DIV/0!</v>
      </c>
      <c r="AA475" s="584" t="e">
        <f t="shared" si="145"/>
        <v>#DIV/0!</v>
      </c>
    </row>
    <row r="476" spans="1:27" s="663" customFormat="1" ht="22.5" hidden="1" customHeight="1" thickTop="1" thickBot="1" x14ac:dyDescent="0.3">
      <c r="A476" s="655">
        <v>1</v>
      </c>
      <c r="B476" s="656" t="s">
        <v>1343</v>
      </c>
      <c r="C476" s="656" t="s">
        <v>1413</v>
      </c>
      <c r="D476" s="656" t="s">
        <v>1391</v>
      </c>
      <c r="E476" s="656" t="s">
        <v>1350</v>
      </c>
      <c r="F476" s="656" t="s">
        <v>1354</v>
      </c>
      <c r="G476" s="656"/>
      <c r="H476" s="656"/>
      <c r="I476" s="656"/>
      <c r="J476" s="656"/>
      <c r="K476" s="658" t="s">
        <v>2475</v>
      </c>
      <c r="L476" s="659">
        <f>SUM(L477:L507)</f>
        <v>0</v>
      </c>
      <c r="M476" s="659">
        <f t="shared" ref="M476:U476" si="148">SUM(M477:M507)</f>
        <v>0</v>
      </c>
      <c r="N476" s="659">
        <f t="shared" si="148"/>
        <v>0</v>
      </c>
      <c r="O476" s="659">
        <f t="shared" si="148"/>
        <v>0</v>
      </c>
      <c r="P476" s="659">
        <f t="shared" si="148"/>
        <v>0</v>
      </c>
      <c r="Q476" s="659">
        <f t="shared" si="148"/>
        <v>0</v>
      </c>
      <c r="R476" s="659">
        <f t="shared" si="148"/>
        <v>0</v>
      </c>
      <c r="S476" s="659">
        <f t="shared" si="148"/>
        <v>0</v>
      </c>
      <c r="T476" s="659">
        <f t="shared" si="148"/>
        <v>0</v>
      </c>
      <c r="U476" s="659">
        <f t="shared" si="148"/>
        <v>0</v>
      </c>
      <c r="V476" s="660" t="e">
        <f t="shared" si="147"/>
        <v>#DIV/0!</v>
      </c>
      <c r="W476" s="661"/>
      <c r="X476" s="663" t="e">
        <f t="shared" si="146"/>
        <v>#DIV/0!</v>
      </c>
      <c r="Y476" s="663" t="e">
        <f t="shared" si="146"/>
        <v>#DIV/0!</v>
      </c>
      <c r="Z476" s="663" t="e">
        <f t="shared" si="146"/>
        <v>#DIV/0!</v>
      </c>
      <c r="AA476" s="663" t="e">
        <f t="shared" si="145"/>
        <v>#DIV/0!</v>
      </c>
    </row>
    <row r="477" spans="1:27" ht="22.5" hidden="1" customHeight="1" thickTop="1" thickBot="1" x14ac:dyDescent="0.3">
      <c r="A477" s="451">
        <v>1</v>
      </c>
      <c r="B477" s="450" t="s">
        <v>1343</v>
      </c>
      <c r="C477" s="450" t="s">
        <v>1413</v>
      </c>
      <c r="D477" s="450" t="s">
        <v>1391</v>
      </c>
      <c r="E477" s="450" t="s">
        <v>1350</v>
      </c>
      <c r="F477" s="450" t="s">
        <v>1354</v>
      </c>
      <c r="G477" s="450" t="s">
        <v>1345</v>
      </c>
      <c r="H477" s="450"/>
      <c r="I477" s="450"/>
      <c r="J477" s="450"/>
      <c r="K477" s="647" t="s">
        <v>2476</v>
      </c>
      <c r="L477" s="641"/>
      <c r="M477" s="641"/>
      <c r="N477" s="641"/>
      <c r="O477" s="641">
        <f t="shared" ref="O477:O507" si="149">+L477+M477-N477</f>
        <v>0</v>
      </c>
      <c r="P477" s="641"/>
      <c r="Q477" s="641"/>
      <c r="R477" s="641"/>
      <c r="S477" s="641"/>
      <c r="T477" s="641"/>
      <c r="U477" s="641"/>
      <c r="V477" s="648" t="e">
        <f t="shared" si="147"/>
        <v>#DIV/0!</v>
      </c>
      <c r="W477" s="644"/>
      <c r="X477" s="584" t="e">
        <f t="shared" si="146"/>
        <v>#DIV/0!</v>
      </c>
      <c r="Y477" s="584" t="e">
        <f t="shared" si="146"/>
        <v>#DIV/0!</v>
      </c>
      <c r="Z477" s="584" t="e">
        <f t="shared" si="146"/>
        <v>#DIV/0!</v>
      </c>
      <c r="AA477" s="584" t="e">
        <f t="shared" si="145"/>
        <v>#DIV/0!</v>
      </c>
    </row>
    <row r="478" spans="1:27" ht="22.5" hidden="1" customHeight="1" thickTop="1" thickBot="1" x14ac:dyDescent="0.3">
      <c r="A478" s="451">
        <v>1</v>
      </c>
      <c r="B478" s="450" t="s">
        <v>1343</v>
      </c>
      <c r="C478" s="450" t="s">
        <v>1413</v>
      </c>
      <c r="D478" s="450" t="s">
        <v>1391</v>
      </c>
      <c r="E478" s="450" t="s">
        <v>1350</v>
      </c>
      <c r="F478" s="450" t="s">
        <v>1354</v>
      </c>
      <c r="G478" s="450" t="s">
        <v>1350</v>
      </c>
      <c r="H478" s="450"/>
      <c r="I478" s="450"/>
      <c r="J478" s="450"/>
      <c r="K478" s="647" t="s">
        <v>2477</v>
      </c>
      <c r="L478" s="641"/>
      <c r="M478" s="641"/>
      <c r="N478" s="641"/>
      <c r="O478" s="641">
        <f t="shared" si="149"/>
        <v>0</v>
      </c>
      <c r="P478" s="641"/>
      <c r="Q478" s="641"/>
      <c r="R478" s="641"/>
      <c r="S478" s="641"/>
      <c r="T478" s="641"/>
      <c r="U478" s="641"/>
      <c r="V478" s="648" t="e">
        <f t="shared" si="147"/>
        <v>#DIV/0!</v>
      </c>
      <c r="W478" s="644"/>
      <c r="X478" s="584" t="e">
        <f t="shared" si="146"/>
        <v>#DIV/0!</v>
      </c>
      <c r="Y478" s="584" t="e">
        <f t="shared" si="146"/>
        <v>#DIV/0!</v>
      </c>
      <c r="Z478" s="584" t="e">
        <f t="shared" si="146"/>
        <v>#DIV/0!</v>
      </c>
      <c r="AA478" s="584" t="e">
        <f t="shared" si="145"/>
        <v>#DIV/0!</v>
      </c>
    </row>
    <row r="479" spans="1:27" ht="22.5" hidden="1" customHeight="1" thickTop="1" thickBot="1" x14ac:dyDescent="0.3">
      <c r="A479" s="451">
        <v>1</v>
      </c>
      <c r="B479" s="450" t="s">
        <v>1343</v>
      </c>
      <c r="C479" s="450" t="s">
        <v>1413</v>
      </c>
      <c r="D479" s="450" t="s">
        <v>1391</v>
      </c>
      <c r="E479" s="450" t="s">
        <v>1350</v>
      </c>
      <c r="F479" s="450" t="s">
        <v>1354</v>
      </c>
      <c r="G479" s="450" t="s">
        <v>1354</v>
      </c>
      <c r="H479" s="450"/>
      <c r="I479" s="450"/>
      <c r="J479" s="450"/>
      <c r="K479" s="647" t="s">
        <v>2478</v>
      </c>
      <c r="L479" s="641"/>
      <c r="M479" s="641"/>
      <c r="N479" s="641"/>
      <c r="O479" s="641">
        <f t="shared" si="149"/>
        <v>0</v>
      </c>
      <c r="P479" s="641"/>
      <c r="Q479" s="641"/>
      <c r="R479" s="641"/>
      <c r="S479" s="641"/>
      <c r="T479" s="641"/>
      <c r="U479" s="641"/>
      <c r="V479" s="648" t="e">
        <f t="shared" si="147"/>
        <v>#DIV/0!</v>
      </c>
      <c r="W479" s="644"/>
      <c r="X479" s="584" t="e">
        <f t="shared" si="146"/>
        <v>#DIV/0!</v>
      </c>
      <c r="Y479" s="584" t="e">
        <f t="shared" si="146"/>
        <v>#DIV/0!</v>
      </c>
      <c r="Z479" s="584" t="e">
        <f t="shared" si="146"/>
        <v>#DIV/0!</v>
      </c>
      <c r="AA479" s="584" t="e">
        <f t="shared" si="145"/>
        <v>#DIV/0!</v>
      </c>
    </row>
    <row r="480" spans="1:27" ht="22.5" hidden="1" customHeight="1" thickTop="1" thickBot="1" x14ac:dyDescent="0.3">
      <c r="A480" s="451">
        <v>1</v>
      </c>
      <c r="B480" s="450" t="s">
        <v>1343</v>
      </c>
      <c r="C480" s="450" t="s">
        <v>1413</v>
      </c>
      <c r="D480" s="450" t="s">
        <v>1391</v>
      </c>
      <c r="E480" s="450" t="s">
        <v>1350</v>
      </c>
      <c r="F480" s="450" t="s">
        <v>1354</v>
      </c>
      <c r="G480" s="450" t="s">
        <v>1355</v>
      </c>
      <c r="H480" s="450"/>
      <c r="I480" s="450"/>
      <c r="J480" s="450"/>
      <c r="K480" s="647" t="s">
        <v>2479</v>
      </c>
      <c r="L480" s="641"/>
      <c r="M480" s="641"/>
      <c r="N480" s="641"/>
      <c r="O480" s="641">
        <f t="shared" si="149"/>
        <v>0</v>
      </c>
      <c r="P480" s="641"/>
      <c r="Q480" s="641"/>
      <c r="R480" s="641"/>
      <c r="S480" s="641"/>
      <c r="T480" s="641"/>
      <c r="U480" s="641"/>
      <c r="V480" s="648" t="e">
        <f t="shared" si="147"/>
        <v>#DIV/0!</v>
      </c>
      <c r="W480" s="644"/>
      <c r="X480" s="584" t="e">
        <f t="shared" si="146"/>
        <v>#DIV/0!</v>
      </c>
      <c r="Y480" s="584" t="e">
        <f t="shared" si="146"/>
        <v>#DIV/0!</v>
      </c>
      <c r="Z480" s="584" t="e">
        <f t="shared" si="146"/>
        <v>#DIV/0!</v>
      </c>
      <c r="AA480" s="584" t="e">
        <f t="shared" si="145"/>
        <v>#DIV/0!</v>
      </c>
    </row>
    <row r="481" spans="1:27" ht="22.5" hidden="1" customHeight="1" thickTop="1" thickBot="1" x14ac:dyDescent="0.3">
      <c r="A481" s="451">
        <v>1</v>
      </c>
      <c r="B481" s="450" t="s">
        <v>1343</v>
      </c>
      <c r="C481" s="450" t="s">
        <v>1413</v>
      </c>
      <c r="D481" s="450" t="s">
        <v>1391</v>
      </c>
      <c r="E481" s="450" t="s">
        <v>1350</v>
      </c>
      <c r="F481" s="450" t="s">
        <v>1354</v>
      </c>
      <c r="G481" s="450" t="s">
        <v>1358</v>
      </c>
      <c r="H481" s="450"/>
      <c r="I481" s="450"/>
      <c r="J481" s="450"/>
      <c r="K481" s="647" t="s">
        <v>2480</v>
      </c>
      <c r="L481" s="641"/>
      <c r="M481" s="641"/>
      <c r="N481" s="641"/>
      <c r="O481" s="641">
        <f t="shared" si="149"/>
        <v>0</v>
      </c>
      <c r="P481" s="641"/>
      <c r="Q481" s="641"/>
      <c r="R481" s="641"/>
      <c r="S481" s="641"/>
      <c r="T481" s="641"/>
      <c r="U481" s="641"/>
      <c r="V481" s="648" t="e">
        <f t="shared" si="147"/>
        <v>#DIV/0!</v>
      </c>
      <c r="W481" s="644"/>
      <c r="X481" s="584" t="e">
        <f t="shared" si="146"/>
        <v>#DIV/0!</v>
      </c>
      <c r="Y481" s="584" t="e">
        <f t="shared" si="146"/>
        <v>#DIV/0!</v>
      </c>
      <c r="Z481" s="584" t="e">
        <f t="shared" si="146"/>
        <v>#DIV/0!</v>
      </c>
      <c r="AA481" s="584" t="e">
        <f t="shared" si="145"/>
        <v>#DIV/0!</v>
      </c>
    </row>
    <row r="482" spans="1:27" ht="22.5" hidden="1" customHeight="1" thickTop="1" thickBot="1" x14ac:dyDescent="0.3">
      <c r="A482" s="451">
        <v>1</v>
      </c>
      <c r="B482" s="450" t="s">
        <v>1343</v>
      </c>
      <c r="C482" s="450" t="s">
        <v>1413</v>
      </c>
      <c r="D482" s="450" t="s">
        <v>1391</v>
      </c>
      <c r="E482" s="450" t="s">
        <v>1350</v>
      </c>
      <c r="F482" s="450" t="s">
        <v>1354</v>
      </c>
      <c r="G482" s="450" t="s">
        <v>1359</v>
      </c>
      <c r="H482" s="450"/>
      <c r="I482" s="450"/>
      <c r="J482" s="450"/>
      <c r="K482" s="647" t="s">
        <v>2481</v>
      </c>
      <c r="L482" s="641"/>
      <c r="M482" s="641"/>
      <c r="N482" s="641"/>
      <c r="O482" s="641">
        <f t="shared" si="149"/>
        <v>0</v>
      </c>
      <c r="P482" s="641"/>
      <c r="Q482" s="641"/>
      <c r="R482" s="641"/>
      <c r="S482" s="641"/>
      <c r="T482" s="641"/>
      <c r="U482" s="641"/>
      <c r="V482" s="648" t="e">
        <f t="shared" si="147"/>
        <v>#DIV/0!</v>
      </c>
      <c r="W482" s="644"/>
      <c r="X482" s="584" t="e">
        <f t="shared" si="146"/>
        <v>#DIV/0!</v>
      </c>
      <c r="Y482" s="584" t="e">
        <f t="shared" si="146"/>
        <v>#DIV/0!</v>
      </c>
      <c r="Z482" s="584" t="e">
        <f t="shared" si="146"/>
        <v>#DIV/0!</v>
      </c>
      <c r="AA482" s="584" t="e">
        <f t="shared" si="145"/>
        <v>#DIV/0!</v>
      </c>
    </row>
    <row r="483" spans="1:27" ht="22.5" hidden="1" customHeight="1" thickTop="1" thickBot="1" x14ac:dyDescent="0.3">
      <c r="A483" s="451">
        <v>1</v>
      </c>
      <c r="B483" s="450" t="s">
        <v>1343</v>
      </c>
      <c r="C483" s="450" t="s">
        <v>1413</v>
      </c>
      <c r="D483" s="450" t="s">
        <v>1391</v>
      </c>
      <c r="E483" s="450" t="s">
        <v>1350</v>
      </c>
      <c r="F483" s="450" t="s">
        <v>1354</v>
      </c>
      <c r="G483" s="450" t="s">
        <v>1360</v>
      </c>
      <c r="H483" s="450"/>
      <c r="I483" s="450"/>
      <c r="J483" s="450"/>
      <c r="K483" s="647" t="s">
        <v>2482</v>
      </c>
      <c r="L483" s="641"/>
      <c r="M483" s="641"/>
      <c r="N483" s="641"/>
      <c r="O483" s="641">
        <f t="shared" si="149"/>
        <v>0</v>
      </c>
      <c r="P483" s="641"/>
      <c r="Q483" s="641"/>
      <c r="R483" s="641"/>
      <c r="S483" s="641"/>
      <c r="T483" s="641"/>
      <c r="U483" s="641"/>
      <c r="V483" s="648" t="e">
        <f t="shared" si="147"/>
        <v>#DIV/0!</v>
      </c>
      <c r="W483" s="644"/>
      <c r="X483" s="584" t="e">
        <f t="shared" si="146"/>
        <v>#DIV/0!</v>
      </c>
      <c r="Y483" s="584" t="e">
        <f t="shared" si="146"/>
        <v>#DIV/0!</v>
      </c>
      <c r="Z483" s="584" t="e">
        <f t="shared" si="146"/>
        <v>#DIV/0!</v>
      </c>
      <c r="AA483" s="584" t="e">
        <f t="shared" si="145"/>
        <v>#DIV/0!</v>
      </c>
    </row>
    <row r="484" spans="1:27" ht="22.5" hidden="1" customHeight="1" thickTop="1" thickBot="1" x14ac:dyDescent="0.3">
      <c r="A484" s="451">
        <v>1</v>
      </c>
      <c r="B484" s="450" t="s">
        <v>1343</v>
      </c>
      <c r="C484" s="450" t="s">
        <v>1413</v>
      </c>
      <c r="D484" s="450" t="s">
        <v>1391</v>
      </c>
      <c r="E484" s="450" t="s">
        <v>1350</v>
      </c>
      <c r="F484" s="450" t="s">
        <v>1354</v>
      </c>
      <c r="G484" s="450" t="s">
        <v>1361</v>
      </c>
      <c r="H484" s="450"/>
      <c r="I484" s="450"/>
      <c r="J484" s="450"/>
      <c r="K484" s="647" t="s">
        <v>2483</v>
      </c>
      <c r="L484" s="641"/>
      <c r="M484" s="641"/>
      <c r="N484" s="641"/>
      <c r="O484" s="641">
        <f t="shared" si="149"/>
        <v>0</v>
      </c>
      <c r="P484" s="641"/>
      <c r="Q484" s="641"/>
      <c r="R484" s="641"/>
      <c r="S484" s="641"/>
      <c r="T484" s="641"/>
      <c r="U484" s="641"/>
      <c r="V484" s="648" t="e">
        <f t="shared" si="147"/>
        <v>#DIV/0!</v>
      </c>
      <c r="W484" s="644"/>
      <c r="X484" s="584" t="e">
        <f t="shared" si="146"/>
        <v>#DIV/0!</v>
      </c>
      <c r="Y484" s="584" t="e">
        <f t="shared" si="146"/>
        <v>#DIV/0!</v>
      </c>
      <c r="Z484" s="584" t="e">
        <f t="shared" si="146"/>
        <v>#DIV/0!</v>
      </c>
      <c r="AA484" s="584" t="e">
        <f t="shared" si="145"/>
        <v>#DIV/0!</v>
      </c>
    </row>
    <row r="485" spans="1:27" ht="22.5" hidden="1" customHeight="1" thickTop="1" thickBot="1" x14ac:dyDescent="0.3">
      <c r="A485" s="451">
        <v>1</v>
      </c>
      <c r="B485" s="450" t="s">
        <v>1343</v>
      </c>
      <c r="C485" s="450" t="s">
        <v>1413</v>
      </c>
      <c r="D485" s="450" t="s">
        <v>1391</v>
      </c>
      <c r="E485" s="450" t="s">
        <v>1350</v>
      </c>
      <c r="F485" s="450" t="s">
        <v>1354</v>
      </c>
      <c r="G485" s="450" t="s">
        <v>1390</v>
      </c>
      <c r="H485" s="450"/>
      <c r="I485" s="450"/>
      <c r="J485" s="450"/>
      <c r="K485" s="647" t="s">
        <v>2484</v>
      </c>
      <c r="L485" s="641"/>
      <c r="M485" s="641"/>
      <c r="N485" s="641"/>
      <c r="O485" s="641">
        <f t="shared" si="149"/>
        <v>0</v>
      </c>
      <c r="P485" s="641"/>
      <c r="Q485" s="641"/>
      <c r="R485" s="641"/>
      <c r="S485" s="641"/>
      <c r="T485" s="641"/>
      <c r="U485" s="641"/>
      <c r="V485" s="648" t="e">
        <f t="shared" si="147"/>
        <v>#DIV/0!</v>
      </c>
      <c r="W485" s="644"/>
      <c r="X485" s="584" t="e">
        <f t="shared" si="146"/>
        <v>#DIV/0!</v>
      </c>
      <c r="Y485" s="584" t="e">
        <f t="shared" si="146"/>
        <v>#DIV/0!</v>
      </c>
      <c r="Z485" s="584" t="e">
        <f t="shared" si="146"/>
        <v>#DIV/0!</v>
      </c>
      <c r="AA485" s="584" t="e">
        <f t="shared" si="145"/>
        <v>#DIV/0!</v>
      </c>
    </row>
    <row r="486" spans="1:27" ht="22.5" hidden="1" customHeight="1" thickTop="1" thickBot="1" x14ac:dyDescent="0.3">
      <c r="A486" s="451">
        <v>1</v>
      </c>
      <c r="B486" s="450" t="s">
        <v>1343</v>
      </c>
      <c r="C486" s="450" t="s">
        <v>1413</v>
      </c>
      <c r="D486" s="450" t="s">
        <v>1391</v>
      </c>
      <c r="E486" s="450" t="s">
        <v>1350</v>
      </c>
      <c r="F486" s="450" t="s">
        <v>1354</v>
      </c>
      <c r="G486" s="450" t="s">
        <v>1391</v>
      </c>
      <c r="H486" s="450"/>
      <c r="I486" s="450"/>
      <c r="J486" s="450"/>
      <c r="K486" s="647" t="s">
        <v>2485</v>
      </c>
      <c r="L486" s="641"/>
      <c r="M486" s="641"/>
      <c r="N486" s="641"/>
      <c r="O486" s="641">
        <f t="shared" si="149"/>
        <v>0</v>
      </c>
      <c r="P486" s="641"/>
      <c r="Q486" s="641"/>
      <c r="R486" s="641"/>
      <c r="S486" s="641"/>
      <c r="T486" s="641"/>
      <c r="U486" s="641"/>
      <c r="V486" s="648" t="e">
        <f t="shared" si="147"/>
        <v>#DIV/0!</v>
      </c>
      <c r="W486" s="644"/>
      <c r="X486" s="584" t="e">
        <f t="shared" si="146"/>
        <v>#DIV/0!</v>
      </c>
      <c r="Y486" s="584" t="e">
        <f t="shared" si="146"/>
        <v>#DIV/0!</v>
      </c>
      <c r="Z486" s="584" t="e">
        <f t="shared" si="146"/>
        <v>#DIV/0!</v>
      </c>
      <c r="AA486" s="584" t="e">
        <f t="shared" si="145"/>
        <v>#DIV/0!</v>
      </c>
    </row>
    <row r="487" spans="1:27" ht="22.5" hidden="1" customHeight="1" thickTop="1" thickBot="1" x14ac:dyDescent="0.3">
      <c r="A487" s="451">
        <v>1</v>
      </c>
      <c r="B487" s="450" t="s">
        <v>1343</v>
      </c>
      <c r="C487" s="450" t="s">
        <v>1413</v>
      </c>
      <c r="D487" s="450" t="s">
        <v>1391</v>
      </c>
      <c r="E487" s="450" t="s">
        <v>1350</v>
      </c>
      <c r="F487" s="450" t="s">
        <v>1354</v>
      </c>
      <c r="G487" s="450" t="s">
        <v>1392</v>
      </c>
      <c r="H487" s="450"/>
      <c r="I487" s="450"/>
      <c r="J487" s="450"/>
      <c r="K487" s="647" t="s">
        <v>2486</v>
      </c>
      <c r="L487" s="641"/>
      <c r="M487" s="641"/>
      <c r="N487" s="641"/>
      <c r="O487" s="641">
        <f t="shared" si="149"/>
        <v>0</v>
      </c>
      <c r="P487" s="641"/>
      <c r="Q487" s="641"/>
      <c r="R487" s="641"/>
      <c r="S487" s="641"/>
      <c r="T487" s="641"/>
      <c r="U487" s="641"/>
      <c r="V487" s="648" t="e">
        <f t="shared" si="147"/>
        <v>#DIV/0!</v>
      </c>
      <c r="W487" s="644"/>
      <c r="X487" s="584" t="e">
        <f t="shared" si="146"/>
        <v>#DIV/0!</v>
      </c>
      <c r="Y487" s="584" t="e">
        <f t="shared" si="146"/>
        <v>#DIV/0!</v>
      </c>
      <c r="Z487" s="584" t="e">
        <f t="shared" si="146"/>
        <v>#DIV/0!</v>
      </c>
      <c r="AA487" s="584" t="e">
        <f t="shared" si="145"/>
        <v>#DIV/0!</v>
      </c>
    </row>
    <row r="488" spans="1:27" ht="22.5" hidden="1" customHeight="1" thickTop="1" thickBot="1" x14ac:dyDescent="0.3">
      <c r="A488" s="451">
        <v>1</v>
      </c>
      <c r="B488" s="450" t="s">
        <v>1343</v>
      </c>
      <c r="C488" s="450" t="s">
        <v>1413</v>
      </c>
      <c r="D488" s="450" t="s">
        <v>1391</v>
      </c>
      <c r="E488" s="450" t="s">
        <v>1350</v>
      </c>
      <c r="F488" s="450" t="s">
        <v>1354</v>
      </c>
      <c r="G488" s="450" t="s">
        <v>1393</v>
      </c>
      <c r="H488" s="450"/>
      <c r="I488" s="450"/>
      <c r="J488" s="450"/>
      <c r="K488" s="647" t="s">
        <v>2487</v>
      </c>
      <c r="L488" s="641"/>
      <c r="M488" s="641"/>
      <c r="N488" s="641"/>
      <c r="O488" s="641">
        <f t="shared" si="149"/>
        <v>0</v>
      </c>
      <c r="P488" s="641"/>
      <c r="Q488" s="641"/>
      <c r="R488" s="641"/>
      <c r="S488" s="641"/>
      <c r="T488" s="641"/>
      <c r="U488" s="641"/>
      <c r="V488" s="648" t="e">
        <f t="shared" si="147"/>
        <v>#DIV/0!</v>
      </c>
      <c r="W488" s="644"/>
      <c r="X488" s="584" t="e">
        <f t="shared" si="146"/>
        <v>#DIV/0!</v>
      </c>
      <c r="Y488" s="584" t="e">
        <f t="shared" si="146"/>
        <v>#DIV/0!</v>
      </c>
      <c r="Z488" s="584" t="e">
        <f t="shared" si="146"/>
        <v>#DIV/0!</v>
      </c>
      <c r="AA488" s="584" t="e">
        <f t="shared" si="145"/>
        <v>#DIV/0!</v>
      </c>
    </row>
    <row r="489" spans="1:27" ht="22.5" hidden="1" customHeight="1" thickTop="1" thickBot="1" x14ac:dyDescent="0.3">
      <c r="A489" s="451">
        <v>1</v>
      </c>
      <c r="B489" s="450" t="s">
        <v>1343</v>
      </c>
      <c r="C489" s="450" t="s">
        <v>1413</v>
      </c>
      <c r="D489" s="450" t="s">
        <v>1391</v>
      </c>
      <c r="E489" s="450" t="s">
        <v>1350</v>
      </c>
      <c r="F489" s="450" t="s">
        <v>1354</v>
      </c>
      <c r="G489" s="450" t="s">
        <v>2151</v>
      </c>
      <c r="H489" s="450"/>
      <c r="I489" s="450"/>
      <c r="J489" s="450"/>
      <c r="K489" s="647" t="s">
        <v>2488</v>
      </c>
      <c r="L489" s="641"/>
      <c r="M489" s="641"/>
      <c r="N489" s="641"/>
      <c r="O489" s="641">
        <f t="shared" si="149"/>
        <v>0</v>
      </c>
      <c r="P489" s="641"/>
      <c r="Q489" s="641"/>
      <c r="R489" s="641"/>
      <c r="S489" s="641"/>
      <c r="T489" s="641"/>
      <c r="U489" s="641"/>
      <c r="V489" s="648" t="e">
        <f t="shared" si="147"/>
        <v>#DIV/0!</v>
      </c>
      <c r="W489" s="644"/>
      <c r="X489" s="584" t="e">
        <f t="shared" si="146"/>
        <v>#DIV/0!</v>
      </c>
      <c r="Y489" s="584" t="e">
        <f t="shared" si="146"/>
        <v>#DIV/0!</v>
      </c>
      <c r="Z489" s="584" t="e">
        <f t="shared" si="146"/>
        <v>#DIV/0!</v>
      </c>
      <c r="AA489" s="584" t="e">
        <f t="shared" si="145"/>
        <v>#DIV/0!</v>
      </c>
    </row>
    <row r="490" spans="1:27" ht="22.5" hidden="1" customHeight="1" thickTop="1" thickBot="1" x14ac:dyDescent="0.3">
      <c r="A490" s="451">
        <v>1</v>
      </c>
      <c r="B490" s="450" t="s">
        <v>1343</v>
      </c>
      <c r="C490" s="450" t="s">
        <v>1413</v>
      </c>
      <c r="D490" s="450" t="s">
        <v>1391</v>
      </c>
      <c r="E490" s="450" t="s">
        <v>1350</v>
      </c>
      <c r="F490" s="450" t="s">
        <v>1354</v>
      </c>
      <c r="G490" s="450" t="s">
        <v>2215</v>
      </c>
      <c r="H490" s="450"/>
      <c r="I490" s="450"/>
      <c r="J490" s="450"/>
      <c r="K490" s="647" t="s">
        <v>2489</v>
      </c>
      <c r="L490" s="641"/>
      <c r="M490" s="641"/>
      <c r="N490" s="641"/>
      <c r="O490" s="641">
        <f t="shared" si="149"/>
        <v>0</v>
      </c>
      <c r="P490" s="641"/>
      <c r="Q490" s="641"/>
      <c r="R490" s="641"/>
      <c r="S490" s="641"/>
      <c r="T490" s="641"/>
      <c r="U490" s="641"/>
      <c r="V490" s="648" t="e">
        <f t="shared" si="147"/>
        <v>#DIV/0!</v>
      </c>
      <c r="W490" s="644"/>
      <c r="X490" s="584" t="e">
        <f t="shared" si="146"/>
        <v>#DIV/0!</v>
      </c>
      <c r="Y490" s="584" t="e">
        <f t="shared" si="146"/>
        <v>#DIV/0!</v>
      </c>
      <c r="Z490" s="584" t="e">
        <f t="shared" si="146"/>
        <v>#DIV/0!</v>
      </c>
      <c r="AA490" s="584" t="e">
        <f t="shared" si="145"/>
        <v>#DIV/0!</v>
      </c>
    </row>
    <row r="491" spans="1:27" ht="22.5" hidden="1" customHeight="1" thickTop="1" thickBot="1" x14ac:dyDescent="0.3">
      <c r="A491" s="451">
        <v>1</v>
      </c>
      <c r="B491" s="450" t="s">
        <v>1343</v>
      </c>
      <c r="C491" s="450" t="s">
        <v>1413</v>
      </c>
      <c r="D491" s="450" t="s">
        <v>1391</v>
      </c>
      <c r="E491" s="450" t="s">
        <v>1350</v>
      </c>
      <c r="F491" s="450" t="s">
        <v>1354</v>
      </c>
      <c r="G491" s="450" t="s">
        <v>2338</v>
      </c>
      <c r="H491" s="450"/>
      <c r="I491" s="450"/>
      <c r="J491" s="450"/>
      <c r="K491" s="647" t="s">
        <v>2490</v>
      </c>
      <c r="L491" s="641"/>
      <c r="M491" s="641"/>
      <c r="N491" s="641"/>
      <c r="O491" s="641">
        <f t="shared" si="149"/>
        <v>0</v>
      </c>
      <c r="P491" s="641"/>
      <c r="Q491" s="641"/>
      <c r="R491" s="641"/>
      <c r="S491" s="641"/>
      <c r="T491" s="641"/>
      <c r="U491" s="641"/>
      <c r="V491" s="648" t="e">
        <f t="shared" si="147"/>
        <v>#DIV/0!</v>
      </c>
      <c r="W491" s="644"/>
      <c r="X491" s="584" t="e">
        <f t="shared" si="146"/>
        <v>#DIV/0!</v>
      </c>
      <c r="Y491" s="584" t="e">
        <f t="shared" si="146"/>
        <v>#DIV/0!</v>
      </c>
      <c r="Z491" s="584" t="e">
        <f t="shared" si="146"/>
        <v>#DIV/0!</v>
      </c>
      <c r="AA491" s="584" t="e">
        <f t="shared" si="145"/>
        <v>#DIV/0!</v>
      </c>
    </row>
    <row r="492" spans="1:27" ht="22.5" hidden="1" customHeight="1" thickTop="1" thickBot="1" x14ac:dyDescent="0.3">
      <c r="A492" s="451">
        <v>1</v>
      </c>
      <c r="B492" s="450" t="s">
        <v>1343</v>
      </c>
      <c r="C492" s="450" t="s">
        <v>1413</v>
      </c>
      <c r="D492" s="450" t="s">
        <v>1391</v>
      </c>
      <c r="E492" s="450" t="s">
        <v>1350</v>
      </c>
      <c r="F492" s="450" t="s">
        <v>1354</v>
      </c>
      <c r="G492" s="450" t="s">
        <v>2340</v>
      </c>
      <c r="H492" s="450"/>
      <c r="I492" s="450"/>
      <c r="J492" s="450"/>
      <c r="K492" s="647" t="s">
        <v>2491</v>
      </c>
      <c r="L492" s="641"/>
      <c r="M492" s="641"/>
      <c r="N492" s="641"/>
      <c r="O492" s="641">
        <f t="shared" si="149"/>
        <v>0</v>
      </c>
      <c r="P492" s="641"/>
      <c r="Q492" s="641"/>
      <c r="R492" s="641"/>
      <c r="S492" s="641"/>
      <c r="T492" s="641"/>
      <c r="U492" s="641"/>
      <c r="V492" s="648" t="e">
        <f t="shared" si="147"/>
        <v>#DIV/0!</v>
      </c>
      <c r="W492" s="644"/>
      <c r="X492" s="584" t="e">
        <f t="shared" si="146"/>
        <v>#DIV/0!</v>
      </c>
      <c r="Y492" s="584" t="e">
        <f t="shared" si="146"/>
        <v>#DIV/0!</v>
      </c>
      <c r="Z492" s="584" t="e">
        <f t="shared" si="146"/>
        <v>#DIV/0!</v>
      </c>
      <c r="AA492" s="584" t="e">
        <f t="shared" si="145"/>
        <v>#DIV/0!</v>
      </c>
    </row>
    <row r="493" spans="1:27" ht="22.5" hidden="1" customHeight="1" thickTop="1" thickBot="1" x14ac:dyDescent="0.3">
      <c r="A493" s="451">
        <v>1</v>
      </c>
      <c r="B493" s="450" t="s">
        <v>1343</v>
      </c>
      <c r="C493" s="450" t="s">
        <v>1413</v>
      </c>
      <c r="D493" s="450" t="s">
        <v>1391</v>
      </c>
      <c r="E493" s="450" t="s">
        <v>1350</v>
      </c>
      <c r="F493" s="450" t="s">
        <v>1354</v>
      </c>
      <c r="G493" s="450" t="s">
        <v>2342</v>
      </c>
      <c r="H493" s="450"/>
      <c r="I493" s="450"/>
      <c r="J493" s="450"/>
      <c r="K493" s="647" t="s">
        <v>2492</v>
      </c>
      <c r="L493" s="641"/>
      <c r="M493" s="641"/>
      <c r="N493" s="641"/>
      <c r="O493" s="641">
        <f t="shared" si="149"/>
        <v>0</v>
      </c>
      <c r="P493" s="641"/>
      <c r="Q493" s="641"/>
      <c r="R493" s="641"/>
      <c r="S493" s="641"/>
      <c r="T493" s="641"/>
      <c r="U493" s="641"/>
      <c r="V493" s="648" t="e">
        <f t="shared" si="147"/>
        <v>#DIV/0!</v>
      </c>
      <c r="W493" s="644"/>
      <c r="X493" s="584" t="e">
        <f t="shared" si="146"/>
        <v>#DIV/0!</v>
      </c>
      <c r="Y493" s="584" t="e">
        <f t="shared" si="146"/>
        <v>#DIV/0!</v>
      </c>
      <c r="Z493" s="584" t="e">
        <f t="shared" si="146"/>
        <v>#DIV/0!</v>
      </c>
      <c r="AA493" s="584" t="e">
        <f t="shared" si="145"/>
        <v>#DIV/0!</v>
      </c>
    </row>
    <row r="494" spans="1:27" ht="22.5" hidden="1" customHeight="1" thickTop="1" thickBot="1" x14ac:dyDescent="0.3">
      <c r="A494" s="451">
        <v>1</v>
      </c>
      <c r="B494" s="450" t="s">
        <v>1343</v>
      </c>
      <c r="C494" s="450" t="s">
        <v>1413</v>
      </c>
      <c r="D494" s="450" t="s">
        <v>1391</v>
      </c>
      <c r="E494" s="450" t="s">
        <v>1350</v>
      </c>
      <c r="F494" s="450" t="s">
        <v>1354</v>
      </c>
      <c r="G494" s="450" t="s">
        <v>2344</v>
      </c>
      <c r="H494" s="450"/>
      <c r="I494" s="450"/>
      <c r="J494" s="450"/>
      <c r="K494" s="647" t="s">
        <v>2493</v>
      </c>
      <c r="L494" s="641"/>
      <c r="M494" s="641"/>
      <c r="N494" s="641"/>
      <c r="O494" s="641">
        <f t="shared" si="149"/>
        <v>0</v>
      </c>
      <c r="P494" s="641"/>
      <c r="Q494" s="641"/>
      <c r="R494" s="641"/>
      <c r="S494" s="641"/>
      <c r="T494" s="641"/>
      <c r="U494" s="641"/>
      <c r="V494" s="648" t="e">
        <f t="shared" si="147"/>
        <v>#DIV/0!</v>
      </c>
      <c r="W494" s="644"/>
      <c r="X494" s="584" t="e">
        <f t="shared" si="146"/>
        <v>#DIV/0!</v>
      </c>
      <c r="Y494" s="584" t="e">
        <f t="shared" si="146"/>
        <v>#DIV/0!</v>
      </c>
      <c r="Z494" s="584" t="e">
        <f t="shared" si="146"/>
        <v>#DIV/0!</v>
      </c>
      <c r="AA494" s="584" t="e">
        <f t="shared" si="145"/>
        <v>#DIV/0!</v>
      </c>
    </row>
    <row r="495" spans="1:27" ht="22.5" hidden="1" customHeight="1" thickTop="1" thickBot="1" x14ac:dyDescent="0.3">
      <c r="A495" s="451">
        <v>1</v>
      </c>
      <c r="B495" s="450" t="s">
        <v>1343</v>
      </c>
      <c r="C495" s="450" t="s">
        <v>1413</v>
      </c>
      <c r="D495" s="450" t="s">
        <v>1391</v>
      </c>
      <c r="E495" s="450" t="s">
        <v>1350</v>
      </c>
      <c r="F495" s="450" t="s">
        <v>1354</v>
      </c>
      <c r="G495" s="450" t="s">
        <v>2346</v>
      </c>
      <c r="H495" s="450"/>
      <c r="I495" s="450"/>
      <c r="J495" s="450"/>
      <c r="K495" s="647" t="s">
        <v>2494</v>
      </c>
      <c r="L495" s="641"/>
      <c r="M495" s="641"/>
      <c r="N495" s="641"/>
      <c r="O495" s="641">
        <f t="shared" si="149"/>
        <v>0</v>
      </c>
      <c r="P495" s="641"/>
      <c r="Q495" s="641"/>
      <c r="R495" s="641"/>
      <c r="S495" s="641"/>
      <c r="T495" s="641"/>
      <c r="U495" s="641"/>
      <c r="V495" s="648" t="e">
        <f t="shared" si="147"/>
        <v>#DIV/0!</v>
      </c>
      <c r="W495" s="644"/>
      <c r="X495" s="584" t="e">
        <f t="shared" si="146"/>
        <v>#DIV/0!</v>
      </c>
      <c r="Y495" s="584" t="e">
        <f t="shared" si="146"/>
        <v>#DIV/0!</v>
      </c>
      <c r="Z495" s="584" t="e">
        <f t="shared" si="146"/>
        <v>#DIV/0!</v>
      </c>
      <c r="AA495" s="584" t="e">
        <f t="shared" si="145"/>
        <v>#DIV/0!</v>
      </c>
    </row>
    <row r="496" spans="1:27" ht="22.5" hidden="1" customHeight="1" thickTop="1" thickBot="1" x14ac:dyDescent="0.3">
      <c r="A496" s="451">
        <v>1</v>
      </c>
      <c r="B496" s="450" t="s">
        <v>1343</v>
      </c>
      <c r="C496" s="450" t="s">
        <v>1413</v>
      </c>
      <c r="D496" s="450" t="s">
        <v>1391</v>
      </c>
      <c r="E496" s="450" t="s">
        <v>1350</v>
      </c>
      <c r="F496" s="450" t="s">
        <v>1354</v>
      </c>
      <c r="G496" s="450" t="s">
        <v>2348</v>
      </c>
      <c r="H496" s="450"/>
      <c r="I496" s="450"/>
      <c r="J496" s="450"/>
      <c r="K496" s="647" t="s">
        <v>2495</v>
      </c>
      <c r="L496" s="641"/>
      <c r="M496" s="641"/>
      <c r="N496" s="641"/>
      <c r="O496" s="641">
        <f t="shared" si="149"/>
        <v>0</v>
      </c>
      <c r="P496" s="641"/>
      <c r="Q496" s="641"/>
      <c r="R496" s="641"/>
      <c r="S496" s="641"/>
      <c r="T496" s="641"/>
      <c r="U496" s="641"/>
      <c r="V496" s="648" t="e">
        <f t="shared" si="147"/>
        <v>#DIV/0!</v>
      </c>
      <c r="W496" s="644"/>
      <c r="X496" s="584" t="e">
        <f t="shared" si="146"/>
        <v>#DIV/0!</v>
      </c>
      <c r="Y496" s="584" t="e">
        <f t="shared" si="146"/>
        <v>#DIV/0!</v>
      </c>
      <c r="Z496" s="584" t="e">
        <f t="shared" si="146"/>
        <v>#DIV/0!</v>
      </c>
      <c r="AA496" s="584" t="e">
        <f t="shared" si="145"/>
        <v>#DIV/0!</v>
      </c>
    </row>
    <row r="497" spans="1:27" ht="22.5" hidden="1" customHeight="1" thickTop="1" thickBot="1" x14ac:dyDescent="0.3">
      <c r="A497" s="451">
        <v>1</v>
      </c>
      <c r="B497" s="450" t="s">
        <v>1343</v>
      </c>
      <c r="C497" s="450" t="s">
        <v>1413</v>
      </c>
      <c r="D497" s="450" t="s">
        <v>1391</v>
      </c>
      <c r="E497" s="450" t="s">
        <v>1350</v>
      </c>
      <c r="F497" s="450" t="s">
        <v>1354</v>
      </c>
      <c r="G497" s="450" t="s">
        <v>2350</v>
      </c>
      <c r="H497" s="450"/>
      <c r="I497" s="450"/>
      <c r="J497" s="450"/>
      <c r="K497" s="647" t="s">
        <v>2496</v>
      </c>
      <c r="L497" s="641"/>
      <c r="M497" s="641"/>
      <c r="N497" s="641"/>
      <c r="O497" s="641">
        <f t="shared" si="149"/>
        <v>0</v>
      </c>
      <c r="P497" s="641"/>
      <c r="Q497" s="641"/>
      <c r="R497" s="641"/>
      <c r="S497" s="641"/>
      <c r="T497" s="641"/>
      <c r="U497" s="641"/>
      <c r="V497" s="648" t="e">
        <f t="shared" si="147"/>
        <v>#DIV/0!</v>
      </c>
      <c r="W497" s="644"/>
      <c r="X497" s="584" t="e">
        <f t="shared" si="146"/>
        <v>#DIV/0!</v>
      </c>
      <c r="Y497" s="584" t="e">
        <f t="shared" si="146"/>
        <v>#DIV/0!</v>
      </c>
      <c r="Z497" s="584" t="e">
        <f t="shared" si="146"/>
        <v>#DIV/0!</v>
      </c>
      <c r="AA497" s="584" t="e">
        <f t="shared" si="145"/>
        <v>#DIV/0!</v>
      </c>
    </row>
    <row r="498" spans="1:27" ht="22.5" hidden="1" customHeight="1" thickTop="1" thickBot="1" x14ac:dyDescent="0.3">
      <c r="A498" s="451">
        <v>1</v>
      </c>
      <c r="B498" s="450" t="s">
        <v>1343</v>
      </c>
      <c r="C498" s="450" t="s">
        <v>1413</v>
      </c>
      <c r="D498" s="450" t="s">
        <v>1391</v>
      </c>
      <c r="E498" s="450" t="s">
        <v>1350</v>
      </c>
      <c r="F498" s="450" t="s">
        <v>1354</v>
      </c>
      <c r="G498" s="450" t="s">
        <v>2156</v>
      </c>
      <c r="H498" s="450"/>
      <c r="I498" s="450"/>
      <c r="J498" s="450"/>
      <c r="K498" s="647" t="s">
        <v>2497</v>
      </c>
      <c r="L498" s="641"/>
      <c r="M498" s="641"/>
      <c r="N498" s="641"/>
      <c r="O498" s="641">
        <f t="shared" si="149"/>
        <v>0</v>
      </c>
      <c r="P498" s="641"/>
      <c r="Q498" s="641"/>
      <c r="R498" s="641"/>
      <c r="S498" s="641"/>
      <c r="T498" s="641"/>
      <c r="U498" s="641"/>
      <c r="V498" s="648" t="e">
        <f t="shared" si="147"/>
        <v>#DIV/0!</v>
      </c>
      <c r="W498" s="644"/>
      <c r="X498" s="584" t="e">
        <f t="shared" si="146"/>
        <v>#DIV/0!</v>
      </c>
      <c r="Y498" s="584" t="e">
        <f t="shared" si="146"/>
        <v>#DIV/0!</v>
      </c>
      <c r="Z498" s="584" t="e">
        <f t="shared" si="146"/>
        <v>#DIV/0!</v>
      </c>
      <c r="AA498" s="584" t="e">
        <f t="shared" si="145"/>
        <v>#DIV/0!</v>
      </c>
    </row>
    <row r="499" spans="1:27" ht="22.5" hidden="1" customHeight="1" thickTop="1" thickBot="1" x14ac:dyDescent="0.3">
      <c r="A499" s="451">
        <v>1</v>
      </c>
      <c r="B499" s="450" t="s">
        <v>1343</v>
      </c>
      <c r="C499" s="450" t="s">
        <v>1413</v>
      </c>
      <c r="D499" s="450" t="s">
        <v>1391</v>
      </c>
      <c r="E499" s="450" t="s">
        <v>1350</v>
      </c>
      <c r="F499" s="450" t="s">
        <v>1354</v>
      </c>
      <c r="G499" s="450" t="s">
        <v>2353</v>
      </c>
      <c r="H499" s="450"/>
      <c r="I499" s="450"/>
      <c r="J499" s="450"/>
      <c r="K499" s="647" t="s">
        <v>2498</v>
      </c>
      <c r="L499" s="641"/>
      <c r="M499" s="641"/>
      <c r="N499" s="641"/>
      <c r="O499" s="641">
        <f t="shared" si="149"/>
        <v>0</v>
      </c>
      <c r="P499" s="641"/>
      <c r="Q499" s="641"/>
      <c r="R499" s="641"/>
      <c r="S499" s="641"/>
      <c r="T499" s="641"/>
      <c r="U499" s="641"/>
      <c r="V499" s="648" t="e">
        <f t="shared" si="147"/>
        <v>#DIV/0!</v>
      </c>
      <c r="W499" s="644"/>
      <c r="X499" s="584" t="e">
        <f t="shared" si="146"/>
        <v>#DIV/0!</v>
      </c>
      <c r="Y499" s="584" t="e">
        <f t="shared" si="146"/>
        <v>#DIV/0!</v>
      </c>
      <c r="Z499" s="584" t="e">
        <f t="shared" si="146"/>
        <v>#DIV/0!</v>
      </c>
      <c r="AA499" s="584" t="e">
        <f t="shared" si="145"/>
        <v>#DIV/0!</v>
      </c>
    </row>
    <row r="500" spans="1:27" ht="22.5" hidden="1" customHeight="1" thickTop="1" thickBot="1" x14ac:dyDescent="0.3">
      <c r="A500" s="451">
        <v>1</v>
      </c>
      <c r="B500" s="450" t="s">
        <v>1343</v>
      </c>
      <c r="C500" s="450" t="s">
        <v>1413</v>
      </c>
      <c r="D500" s="450" t="s">
        <v>1391</v>
      </c>
      <c r="E500" s="450" t="s">
        <v>1350</v>
      </c>
      <c r="F500" s="450" t="s">
        <v>1354</v>
      </c>
      <c r="G500" s="450" t="s">
        <v>2355</v>
      </c>
      <c r="H500" s="450"/>
      <c r="I500" s="450"/>
      <c r="J500" s="450"/>
      <c r="K500" s="647" t="s">
        <v>2499</v>
      </c>
      <c r="L500" s="641"/>
      <c r="M500" s="641"/>
      <c r="N500" s="641"/>
      <c r="O500" s="641">
        <f t="shared" si="149"/>
        <v>0</v>
      </c>
      <c r="P500" s="641"/>
      <c r="Q500" s="641"/>
      <c r="R500" s="641"/>
      <c r="S500" s="641"/>
      <c r="T500" s="641"/>
      <c r="U500" s="641"/>
      <c r="V500" s="648" t="e">
        <f t="shared" si="147"/>
        <v>#DIV/0!</v>
      </c>
      <c r="W500" s="644"/>
      <c r="X500" s="584" t="e">
        <f t="shared" si="146"/>
        <v>#DIV/0!</v>
      </c>
      <c r="Y500" s="584" t="e">
        <f t="shared" si="146"/>
        <v>#DIV/0!</v>
      </c>
      <c r="Z500" s="584" t="e">
        <f t="shared" si="146"/>
        <v>#DIV/0!</v>
      </c>
      <c r="AA500" s="584" t="e">
        <f t="shared" si="145"/>
        <v>#DIV/0!</v>
      </c>
    </row>
    <row r="501" spans="1:27" ht="22.5" hidden="1" customHeight="1" thickTop="1" thickBot="1" x14ac:dyDescent="0.3">
      <c r="A501" s="451">
        <v>1</v>
      </c>
      <c r="B501" s="450" t="s">
        <v>1343</v>
      </c>
      <c r="C501" s="450" t="s">
        <v>1413</v>
      </c>
      <c r="D501" s="450" t="s">
        <v>1391</v>
      </c>
      <c r="E501" s="450" t="s">
        <v>1350</v>
      </c>
      <c r="F501" s="450" t="s">
        <v>1354</v>
      </c>
      <c r="G501" s="450" t="s">
        <v>2357</v>
      </c>
      <c r="H501" s="450"/>
      <c r="I501" s="450"/>
      <c r="J501" s="450"/>
      <c r="K501" s="647" t="s">
        <v>2500</v>
      </c>
      <c r="L501" s="641"/>
      <c r="M501" s="641"/>
      <c r="N501" s="641"/>
      <c r="O501" s="641">
        <f t="shared" si="149"/>
        <v>0</v>
      </c>
      <c r="P501" s="641"/>
      <c r="Q501" s="641"/>
      <c r="R501" s="641"/>
      <c r="S501" s="641"/>
      <c r="T501" s="641"/>
      <c r="U501" s="641"/>
      <c r="V501" s="648" t="e">
        <f t="shared" si="147"/>
        <v>#DIV/0!</v>
      </c>
      <c r="W501" s="644"/>
      <c r="X501" s="584" t="e">
        <f t="shared" si="146"/>
        <v>#DIV/0!</v>
      </c>
      <c r="Y501" s="584" t="e">
        <f t="shared" si="146"/>
        <v>#DIV/0!</v>
      </c>
      <c r="Z501" s="584" t="e">
        <f t="shared" si="146"/>
        <v>#DIV/0!</v>
      </c>
      <c r="AA501" s="584" t="e">
        <f t="shared" si="145"/>
        <v>#DIV/0!</v>
      </c>
    </row>
    <row r="502" spans="1:27" ht="22.5" hidden="1" customHeight="1" thickTop="1" thickBot="1" x14ac:dyDescent="0.3">
      <c r="A502" s="451">
        <v>1</v>
      </c>
      <c r="B502" s="450" t="s">
        <v>1343</v>
      </c>
      <c r="C502" s="450" t="s">
        <v>1413</v>
      </c>
      <c r="D502" s="450" t="s">
        <v>1391</v>
      </c>
      <c r="E502" s="450" t="s">
        <v>1350</v>
      </c>
      <c r="F502" s="450" t="s">
        <v>1354</v>
      </c>
      <c r="G502" s="450" t="s">
        <v>2359</v>
      </c>
      <c r="H502" s="450"/>
      <c r="I502" s="450"/>
      <c r="J502" s="450"/>
      <c r="K502" s="647" t="s">
        <v>2501</v>
      </c>
      <c r="L502" s="641"/>
      <c r="M502" s="641"/>
      <c r="N502" s="641"/>
      <c r="O502" s="641">
        <f t="shared" si="149"/>
        <v>0</v>
      </c>
      <c r="P502" s="641"/>
      <c r="Q502" s="641"/>
      <c r="R502" s="641"/>
      <c r="S502" s="641"/>
      <c r="T502" s="641"/>
      <c r="U502" s="641"/>
      <c r="V502" s="648" t="e">
        <f t="shared" si="147"/>
        <v>#DIV/0!</v>
      </c>
      <c r="W502" s="644"/>
      <c r="X502" s="584" t="e">
        <f t="shared" si="146"/>
        <v>#DIV/0!</v>
      </c>
      <c r="Y502" s="584" t="e">
        <f t="shared" si="146"/>
        <v>#DIV/0!</v>
      </c>
      <c r="Z502" s="584" t="e">
        <f t="shared" si="146"/>
        <v>#DIV/0!</v>
      </c>
      <c r="AA502" s="584" t="e">
        <f t="shared" si="145"/>
        <v>#DIV/0!</v>
      </c>
    </row>
    <row r="503" spans="1:27" ht="22.5" hidden="1" customHeight="1" thickTop="1" thickBot="1" x14ac:dyDescent="0.3">
      <c r="A503" s="451">
        <v>1</v>
      </c>
      <c r="B503" s="450" t="s">
        <v>1343</v>
      </c>
      <c r="C503" s="450" t="s">
        <v>1413</v>
      </c>
      <c r="D503" s="450" t="s">
        <v>1391</v>
      </c>
      <c r="E503" s="450" t="s">
        <v>1350</v>
      </c>
      <c r="F503" s="450" t="s">
        <v>1354</v>
      </c>
      <c r="G503" s="450" t="s">
        <v>2361</v>
      </c>
      <c r="H503" s="450"/>
      <c r="I503" s="450"/>
      <c r="J503" s="450"/>
      <c r="K503" s="647" t="s">
        <v>2502</v>
      </c>
      <c r="L503" s="641"/>
      <c r="M503" s="641"/>
      <c r="N503" s="641"/>
      <c r="O503" s="641">
        <f t="shared" si="149"/>
        <v>0</v>
      </c>
      <c r="P503" s="641"/>
      <c r="Q503" s="641"/>
      <c r="R503" s="641"/>
      <c r="S503" s="641"/>
      <c r="T503" s="641"/>
      <c r="U503" s="641"/>
      <c r="V503" s="648" t="e">
        <f t="shared" si="147"/>
        <v>#DIV/0!</v>
      </c>
      <c r="W503" s="644"/>
      <c r="X503" s="584" t="e">
        <f t="shared" si="146"/>
        <v>#DIV/0!</v>
      </c>
      <c r="Y503" s="584" t="e">
        <f t="shared" si="146"/>
        <v>#DIV/0!</v>
      </c>
      <c r="Z503" s="584" t="e">
        <f t="shared" si="146"/>
        <v>#DIV/0!</v>
      </c>
      <c r="AA503" s="584" t="e">
        <f t="shared" si="145"/>
        <v>#DIV/0!</v>
      </c>
    </row>
    <row r="504" spans="1:27" ht="22.5" hidden="1" customHeight="1" thickTop="1" thickBot="1" x14ac:dyDescent="0.3">
      <c r="A504" s="451">
        <v>1</v>
      </c>
      <c r="B504" s="450" t="s">
        <v>1343</v>
      </c>
      <c r="C504" s="450" t="s">
        <v>1413</v>
      </c>
      <c r="D504" s="450" t="s">
        <v>1391</v>
      </c>
      <c r="E504" s="450" t="s">
        <v>1350</v>
      </c>
      <c r="F504" s="450" t="s">
        <v>1354</v>
      </c>
      <c r="G504" s="450" t="s">
        <v>2363</v>
      </c>
      <c r="H504" s="450"/>
      <c r="I504" s="450"/>
      <c r="J504" s="450"/>
      <c r="K504" s="647" t="s">
        <v>2503</v>
      </c>
      <c r="L504" s="641"/>
      <c r="M504" s="641"/>
      <c r="N504" s="641"/>
      <c r="O504" s="641">
        <f t="shared" si="149"/>
        <v>0</v>
      </c>
      <c r="P504" s="641"/>
      <c r="Q504" s="641"/>
      <c r="R504" s="641"/>
      <c r="S504" s="641"/>
      <c r="T504" s="641"/>
      <c r="U504" s="641"/>
      <c r="V504" s="648" t="e">
        <f t="shared" si="147"/>
        <v>#DIV/0!</v>
      </c>
      <c r="W504" s="644"/>
      <c r="X504" s="584" t="e">
        <f t="shared" si="146"/>
        <v>#DIV/0!</v>
      </c>
      <c r="Y504" s="584" t="e">
        <f t="shared" si="146"/>
        <v>#DIV/0!</v>
      </c>
      <c r="Z504" s="584" t="e">
        <f t="shared" si="146"/>
        <v>#DIV/0!</v>
      </c>
      <c r="AA504" s="584" t="e">
        <f t="shared" si="145"/>
        <v>#DIV/0!</v>
      </c>
    </row>
    <row r="505" spans="1:27" ht="22.5" hidden="1" customHeight="1" thickTop="1" thickBot="1" x14ac:dyDescent="0.3">
      <c r="A505" s="451">
        <v>1</v>
      </c>
      <c r="B505" s="450" t="s">
        <v>1343</v>
      </c>
      <c r="C505" s="450" t="s">
        <v>1413</v>
      </c>
      <c r="D505" s="450" t="s">
        <v>1391</v>
      </c>
      <c r="E505" s="450" t="s">
        <v>1350</v>
      </c>
      <c r="F505" s="450" t="s">
        <v>1354</v>
      </c>
      <c r="G505" s="450" t="s">
        <v>2365</v>
      </c>
      <c r="H505" s="450"/>
      <c r="I505" s="450"/>
      <c r="J505" s="450"/>
      <c r="K505" s="647" t="s">
        <v>2504</v>
      </c>
      <c r="L505" s="641"/>
      <c r="M505" s="641"/>
      <c r="N505" s="641"/>
      <c r="O505" s="641">
        <f t="shared" si="149"/>
        <v>0</v>
      </c>
      <c r="P505" s="641"/>
      <c r="Q505" s="641"/>
      <c r="R505" s="641"/>
      <c r="S505" s="641"/>
      <c r="T505" s="641"/>
      <c r="U505" s="641"/>
      <c r="V505" s="648" t="e">
        <f t="shared" si="147"/>
        <v>#DIV/0!</v>
      </c>
      <c r="W505" s="644"/>
      <c r="X505" s="584" t="e">
        <f t="shared" si="146"/>
        <v>#DIV/0!</v>
      </c>
      <c r="Y505" s="584" t="e">
        <f t="shared" si="146"/>
        <v>#DIV/0!</v>
      </c>
      <c r="Z505" s="584" t="e">
        <f t="shared" si="146"/>
        <v>#DIV/0!</v>
      </c>
      <c r="AA505" s="584" t="e">
        <f t="shared" si="145"/>
        <v>#DIV/0!</v>
      </c>
    </row>
    <row r="506" spans="1:27" ht="22.5" hidden="1" customHeight="1" thickTop="1" thickBot="1" x14ac:dyDescent="0.3">
      <c r="A506" s="451">
        <v>1</v>
      </c>
      <c r="B506" s="450" t="s">
        <v>1343</v>
      </c>
      <c r="C506" s="450" t="s">
        <v>1413</v>
      </c>
      <c r="D506" s="450" t="s">
        <v>1391</v>
      </c>
      <c r="E506" s="450" t="s">
        <v>1350</v>
      </c>
      <c r="F506" s="450" t="s">
        <v>1354</v>
      </c>
      <c r="G506" s="450" t="s">
        <v>2367</v>
      </c>
      <c r="H506" s="450"/>
      <c r="I506" s="450"/>
      <c r="J506" s="450"/>
      <c r="K506" s="647" t="s">
        <v>2505</v>
      </c>
      <c r="L506" s="641"/>
      <c r="M506" s="641"/>
      <c r="N506" s="641"/>
      <c r="O506" s="641">
        <f t="shared" si="149"/>
        <v>0</v>
      </c>
      <c r="P506" s="641"/>
      <c r="Q506" s="641"/>
      <c r="R506" s="641"/>
      <c r="S506" s="641"/>
      <c r="T506" s="641"/>
      <c r="U506" s="641"/>
      <c r="V506" s="648" t="e">
        <f t="shared" si="147"/>
        <v>#DIV/0!</v>
      </c>
      <c r="W506" s="644"/>
      <c r="X506" s="584" t="e">
        <f t="shared" si="146"/>
        <v>#DIV/0!</v>
      </c>
      <c r="Y506" s="584" t="e">
        <f t="shared" si="146"/>
        <v>#DIV/0!</v>
      </c>
      <c r="Z506" s="584" t="e">
        <f t="shared" si="146"/>
        <v>#DIV/0!</v>
      </c>
      <c r="AA506" s="584" t="e">
        <f t="shared" si="145"/>
        <v>#DIV/0!</v>
      </c>
    </row>
    <row r="507" spans="1:27" ht="22.5" hidden="1" customHeight="1" thickTop="1" thickBot="1" x14ac:dyDescent="0.3">
      <c r="A507" s="451">
        <v>1</v>
      </c>
      <c r="B507" s="450" t="s">
        <v>1343</v>
      </c>
      <c r="C507" s="450" t="s">
        <v>1413</v>
      </c>
      <c r="D507" s="450" t="s">
        <v>1391</v>
      </c>
      <c r="E507" s="450" t="s">
        <v>1350</v>
      </c>
      <c r="F507" s="450" t="s">
        <v>1354</v>
      </c>
      <c r="G507" s="450" t="s">
        <v>2439</v>
      </c>
      <c r="H507" s="450"/>
      <c r="I507" s="450"/>
      <c r="J507" s="450"/>
      <c r="K507" s="647" t="s">
        <v>2506</v>
      </c>
      <c r="L507" s="641"/>
      <c r="M507" s="641"/>
      <c r="N507" s="641"/>
      <c r="O507" s="641">
        <f t="shared" si="149"/>
        <v>0</v>
      </c>
      <c r="P507" s="641"/>
      <c r="Q507" s="641"/>
      <c r="R507" s="641"/>
      <c r="S507" s="641"/>
      <c r="T507" s="641"/>
      <c r="U507" s="641"/>
      <c r="V507" s="648" t="e">
        <f t="shared" si="147"/>
        <v>#DIV/0!</v>
      </c>
      <c r="W507" s="644"/>
      <c r="X507" s="584" t="e">
        <f t="shared" si="146"/>
        <v>#DIV/0!</v>
      </c>
      <c r="Y507" s="584" t="e">
        <f t="shared" si="146"/>
        <v>#DIV/0!</v>
      </c>
      <c r="Z507" s="584" t="e">
        <f t="shared" si="146"/>
        <v>#DIV/0!</v>
      </c>
      <c r="AA507" s="584" t="e">
        <f t="shared" si="145"/>
        <v>#DIV/0!</v>
      </c>
    </row>
    <row r="508" spans="1:27" s="617" customFormat="1" ht="22.5" hidden="1" customHeight="1" thickTop="1" thickBot="1" x14ac:dyDescent="0.3">
      <c r="A508" s="611">
        <v>1</v>
      </c>
      <c r="B508" s="448" t="s">
        <v>1343</v>
      </c>
      <c r="C508" s="448" t="s">
        <v>1413</v>
      </c>
      <c r="D508" s="448" t="s">
        <v>2151</v>
      </c>
      <c r="E508" s="448"/>
      <c r="F508" s="448"/>
      <c r="G508" s="448"/>
      <c r="H508" s="448"/>
      <c r="I508" s="448"/>
      <c r="J508" s="448"/>
      <c r="K508" s="612" t="s">
        <v>2507</v>
      </c>
      <c r="L508" s="613">
        <f>+L509+L510</f>
        <v>0</v>
      </c>
      <c r="M508" s="613">
        <f t="shared" ref="M508:U508" si="150">+M509+M510</f>
        <v>0</v>
      </c>
      <c r="N508" s="613">
        <f t="shared" si="150"/>
        <v>0</v>
      </c>
      <c r="O508" s="613">
        <f t="shared" si="150"/>
        <v>0</v>
      </c>
      <c r="P508" s="613">
        <f t="shared" si="150"/>
        <v>0</v>
      </c>
      <c r="Q508" s="613">
        <f t="shared" si="150"/>
        <v>0</v>
      </c>
      <c r="R508" s="613">
        <f t="shared" si="150"/>
        <v>0</v>
      </c>
      <c r="S508" s="613">
        <f t="shared" si="150"/>
        <v>0</v>
      </c>
      <c r="T508" s="613">
        <f t="shared" si="150"/>
        <v>0</v>
      </c>
      <c r="U508" s="613">
        <f t="shared" si="150"/>
        <v>0</v>
      </c>
      <c r="V508" s="614" t="e">
        <f t="shared" si="147"/>
        <v>#DIV/0!</v>
      </c>
      <c r="W508" s="615"/>
      <c r="X508" s="617" t="e">
        <f t="shared" si="146"/>
        <v>#DIV/0!</v>
      </c>
      <c r="Y508" s="617" t="e">
        <f t="shared" si="146"/>
        <v>#DIV/0!</v>
      </c>
      <c r="Z508" s="617" t="e">
        <f t="shared" si="146"/>
        <v>#DIV/0!</v>
      </c>
      <c r="AA508" s="617" t="e">
        <f t="shared" si="145"/>
        <v>#DIV/0!</v>
      </c>
    </row>
    <row r="509" spans="1:27" ht="22.5" hidden="1" customHeight="1" thickTop="1" thickBot="1" x14ac:dyDescent="0.3">
      <c r="A509" s="451">
        <v>1</v>
      </c>
      <c r="B509" s="450" t="s">
        <v>1343</v>
      </c>
      <c r="C509" s="450" t="s">
        <v>1413</v>
      </c>
      <c r="D509" s="450" t="s">
        <v>2151</v>
      </c>
      <c r="E509" s="450" t="s">
        <v>1345</v>
      </c>
      <c r="F509" s="450"/>
      <c r="G509" s="450"/>
      <c r="H509" s="450"/>
      <c r="I509" s="450"/>
      <c r="J509" s="450"/>
      <c r="K509" s="647" t="s">
        <v>2508</v>
      </c>
      <c r="L509" s="641"/>
      <c r="M509" s="641"/>
      <c r="N509" s="641"/>
      <c r="O509" s="641">
        <f>+L509+M509-N509</f>
        <v>0</v>
      </c>
      <c r="P509" s="641"/>
      <c r="Q509" s="641"/>
      <c r="R509" s="641"/>
      <c r="S509" s="641"/>
      <c r="T509" s="641"/>
      <c r="U509" s="641"/>
      <c r="V509" s="648" t="e">
        <f t="shared" si="147"/>
        <v>#DIV/0!</v>
      </c>
      <c r="W509" s="644"/>
      <c r="X509" s="584" t="e">
        <f t="shared" si="146"/>
        <v>#DIV/0!</v>
      </c>
      <c r="Y509" s="584" t="e">
        <f t="shared" si="146"/>
        <v>#DIV/0!</v>
      </c>
      <c r="Z509" s="584" t="e">
        <f t="shared" si="146"/>
        <v>#DIV/0!</v>
      </c>
      <c r="AA509" s="584" t="e">
        <f t="shared" si="145"/>
        <v>#DIV/0!</v>
      </c>
    </row>
    <row r="510" spans="1:27" ht="22.5" hidden="1" customHeight="1" thickTop="1" thickBot="1" x14ac:dyDescent="0.3">
      <c r="A510" s="451">
        <v>1</v>
      </c>
      <c r="B510" s="450" t="s">
        <v>1343</v>
      </c>
      <c r="C510" s="450" t="s">
        <v>1413</v>
      </c>
      <c r="D510" s="450" t="s">
        <v>2151</v>
      </c>
      <c r="E510" s="450" t="s">
        <v>1350</v>
      </c>
      <c r="F510" s="450"/>
      <c r="G510" s="450"/>
      <c r="H510" s="450"/>
      <c r="I510" s="450"/>
      <c r="J510" s="450"/>
      <c r="K510" s="647" t="s">
        <v>2509</v>
      </c>
      <c r="L510" s="641"/>
      <c r="M510" s="641"/>
      <c r="N510" s="641"/>
      <c r="O510" s="641">
        <f>+L510+M510-N510</f>
        <v>0</v>
      </c>
      <c r="P510" s="641"/>
      <c r="Q510" s="641"/>
      <c r="R510" s="641"/>
      <c r="S510" s="641"/>
      <c r="T510" s="641"/>
      <c r="U510" s="641"/>
      <c r="V510" s="648" t="e">
        <f t="shared" si="147"/>
        <v>#DIV/0!</v>
      </c>
      <c r="W510" s="644"/>
      <c r="X510" s="584" t="e">
        <f t="shared" si="146"/>
        <v>#DIV/0!</v>
      </c>
      <c r="Y510" s="584" t="e">
        <f t="shared" si="146"/>
        <v>#DIV/0!</v>
      </c>
      <c r="Z510" s="584" t="e">
        <f t="shared" si="146"/>
        <v>#DIV/0!</v>
      </c>
      <c r="AA510" s="584" t="e">
        <f t="shared" si="145"/>
        <v>#DIV/0!</v>
      </c>
    </row>
    <row r="511" spans="1:27" s="602" customFormat="1" ht="22.5" customHeight="1" thickTop="1" thickBot="1" x14ac:dyDescent="0.3">
      <c r="A511" s="690">
        <v>1</v>
      </c>
      <c r="B511" s="690">
        <v>2</v>
      </c>
      <c r="C511" s="445"/>
      <c r="D511" s="445"/>
      <c r="E511" s="445"/>
      <c r="F511" s="445"/>
      <c r="G511" s="445"/>
      <c r="H511" s="445"/>
      <c r="I511" s="445"/>
      <c r="J511" s="445"/>
      <c r="K511" s="597" t="s">
        <v>1890</v>
      </c>
      <c r="L511" s="598">
        <f>+L512+L516+L518</f>
        <v>4898571340</v>
      </c>
      <c r="M511" s="598">
        <f t="shared" ref="M511:U511" si="151">+M512+M516+M518</f>
        <v>9267542770</v>
      </c>
      <c r="N511" s="598">
        <f t="shared" si="151"/>
        <v>0</v>
      </c>
      <c r="O511" s="598">
        <f t="shared" si="151"/>
        <v>14166114110</v>
      </c>
      <c r="P511" s="598">
        <f t="shared" si="151"/>
        <v>5091300000</v>
      </c>
      <c r="Q511" s="598">
        <f t="shared" si="151"/>
        <v>9067542770</v>
      </c>
      <c r="R511" s="598">
        <f t="shared" si="151"/>
        <v>0</v>
      </c>
      <c r="S511" s="598">
        <f t="shared" si="151"/>
        <v>7271340</v>
      </c>
      <c r="T511" s="598">
        <f t="shared" si="151"/>
        <v>5063805571</v>
      </c>
      <c r="U511" s="598">
        <f t="shared" si="151"/>
        <v>5063805571</v>
      </c>
      <c r="V511" s="599">
        <f t="shared" si="147"/>
        <v>1</v>
      </c>
      <c r="W511" s="600"/>
      <c r="X511" s="601">
        <f t="shared" si="146"/>
        <v>0.35939990038665587</v>
      </c>
      <c r="Y511" s="601">
        <f t="shared" si="146"/>
        <v>0.64008680853411537</v>
      </c>
      <c r="Z511" s="601">
        <f t="shared" si="146"/>
        <v>0</v>
      </c>
      <c r="AA511" s="601">
        <f t="shared" si="145"/>
        <v>5.1329107922878361E-4</v>
      </c>
    </row>
    <row r="512" spans="1:27" s="610" customFormat="1" ht="22.5" customHeight="1" thickTop="1" thickBot="1" x14ac:dyDescent="0.3">
      <c r="A512" s="603">
        <v>1</v>
      </c>
      <c r="B512" s="603">
        <v>2</v>
      </c>
      <c r="C512" s="604" t="s">
        <v>1343</v>
      </c>
      <c r="D512" s="604"/>
      <c r="E512" s="604"/>
      <c r="F512" s="604"/>
      <c r="G512" s="604"/>
      <c r="H512" s="604"/>
      <c r="I512" s="604"/>
      <c r="J512" s="604"/>
      <c r="K512" s="605" t="s">
        <v>1891</v>
      </c>
      <c r="L512" s="606">
        <f>SUM(L513:L515)</f>
        <v>4891300000</v>
      </c>
      <c r="M512" s="606">
        <f>SUM(M513:M515)</f>
        <v>200000000</v>
      </c>
      <c r="N512" s="606">
        <f t="shared" ref="N512:U512" si="152">SUM(N513:N515)</f>
        <v>0</v>
      </c>
      <c r="O512" s="606">
        <f>SUM(O513:O515)</f>
        <v>5091300000</v>
      </c>
      <c r="P512" s="606">
        <f t="shared" si="152"/>
        <v>5091300000</v>
      </c>
      <c r="Q512" s="606">
        <f t="shared" si="152"/>
        <v>0</v>
      </c>
      <c r="R512" s="606">
        <f t="shared" si="152"/>
        <v>0</v>
      </c>
      <c r="S512" s="606">
        <f t="shared" si="152"/>
        <v>0</v>
      </c>
      <c r="T512" s="606">
        <f t="shared" si="152"/>
        <v>5056534231</v>
      </c>
      <c r="U512" s="606">
        <f t="shared" si="152"/>
        <v>5056534231</v>
      </c>
      <c r="V512" s="607">
        <f t="shared" si="147"/>
        <v>1</v>
      </c>
      <c r="W512" s="608"/>
      <c r="X512" s="609">
        <f t="shared" si="146"/>
        <v>1</v>
      </c>
      <c r="Y512" s="609">
        <f t="shared" si="146"/>
        <v>0</v>
      </c>
      <c r="Z512" s="609">
        <f t="shared" si="146"/>
        <v>0</v>
      </c>
      <c r="AA512" s="609">
        <f t="shared" si="145"/>
        <v>0</v>
      </c>
    </row>
    <row r="513" spans="1:78" ht="22.5" customHeight="1" thickTop="1" thickBot="1" x14ac:dyDescent="0.3">
      <c r="A513" s="451">
        <v>1</v>
      </c>
      <c r="B513" s="451">
        <v>2</v>
      </c>
      <c r="C513" s="450" t="s">
        <v>1343</v>
      </c>
      <c r="D513" s="450" t="s">
        <v>1345</v>
      </c>
      <c r="E513" s="450"/>
      <c r="F513" s="450"/>
      <c r="G513" s="450"/>
      <c r="H513" s="450"/>
      <c r="I513" s="450"/>
      <c r="J513" s="450"/>
      <c r="K513" s="691" t="s">
        <v>1367</v>
      </c>
      <c r="L513" s="641">
        <v>4806900000</v>
      </c>
      <c r="M513" s="641">
        <v>200000000</v>
      </c>
      <c r="N513" s="641">
        <v>0</v>
      </c>
      <c r="O513" s="642">
        <f>+L513+M513-N513</f>
        <v>5006900000</v>
      </c>
      <c r="P513" s="642">
        <f>+O513</f>
        <v>5006900000</v>
      </c>
      <c r="Q513" s="642"/>
      <c r="R513" s="642"/>
      <c r="S513" s="642"/>
      <c r="T513" s="641">
        <v>4988851296</v>
      </c>
      <c r="U513" s="642">
        <v>4988851296</v>
      </c>
      <c r="V513" s="648">
        <f t="shared" si="147"/>
        <v>1</v>
      </c>
      <c r="W513" s="644"/>
      <c r="X513" s="646">
        <f t="shared" si="146"/>
        <v>1</v>
      </c>
      <c r="Y513" s="646">
        <f t="shared" si="146"/>
        <v>0</v>
      </c>
      <c r="Z513" s="646">
        <f t="shared" si="146"/>
        <v>0</v>
      </c>
      <c r="AA513" s="646">
        <f t="shared" si="145"/>
        <v>0</v>
      </c>
    </row>
    <row r="514" spans="1:78" ht="22.5" customHeight="1" thickTop="1" thickBot="1" x14ac:dyDescent="0.3">
      <c r="A514" s="451">
        <v>1</v>
      </c>
      <c r="B514" s="451">
        <v>2</v>
      </c>
      <c r="C514" s="450" t="s">
        <v>1343</v>
      </c>
      <c r="D514" s="450" t="s">
        <v>1350</v>
      </c>
      <c r="E514" s="450"/>
      <c r="F514" s="450"/>
      <c r="G514" s="450"/>
      <c r="H514" s="450"/>
      <c r="I514" s="450"/>
      <c r="J514" s="450"/>
      <c r="K514" s="691" t="s">
        <v>1368</v>
      </c>
      <c r="L514" s="641">
        <v>65600000</v>
      </c>
      <c r="M514" s="641">
        <v>0</v>
      </c>
      <c r="N514" s="641">
        <v>0</v>
      </c>
      <c r="O514" s="642">
        <f>+L514+M514-N514</f>
        <v>65600000</v>
      </c>
      <c r="P514" s="642">
        <v>65600000</v>
      </c>
      <c r="Q514" s="642"/>
      <c r="R514" s="642"/>
      <c r="S514" s="642"/>
      <c r="T514" s="641">
        <v>48882935</v>
      </c>
      <c r="U514" s="642">
        <v>48882935</v>
      </c>
      <c r="V514" s="648">
        <f t="shared" si="147"/>
        <v>1</v>
      </c>
      <c r="W514" s="644"/>
      <c r="X514" s="646">
        <f t="shared" si="146"/>
        <v>1</v>
      </c>
      <c r="Y514" s="646">
        <f t="shared" si="146"/>
        <v>0</v>
      </c>
      <c r="Z514" s="646">
        <f t="shared" si="146"/>
        <v>0</v>
      </c>
      <c r="AA514" s="646">
        <f t="shared" si="145"/>
        <v>0</v>
      </c>
    </row>
    <row r="515" spans="1:78" ht="22.5" customHeight="1" thickTop="1" thickBot="1" x14ac:dyDescent="0.3">
      <c r="A515" s="451">
        <v>1</v>
      </c>
      <c r="B515" s="451">
        <v>2</v>
      </c>
      <c r="C515" s="450" t="s">
        <v>1343</v>
      </c>
      <c r="D515" s="450" t="s">
        <v>1354</v>
      </c>
      <c r="E515" s="450"/>
      <c r="F515" s="450"/>
      <c r="G515" s="450"/>
      <c r="H515" s="450"/>
      <c r="I515" s="450"/>
      <c r="J515" s="450"/>
      <c r="K515" s="691" t="s">
        <v>2510</v>
      </c>
      <c r="L515" s="641">
        <v>18800000</v>
      </c>
      <c r="M515" s="641">
        <v>0</v>
      </c>
      <c r="N515" s="641">
        <v>0</v>
      </c>
      <c r="O515" s="642">
        <f>+L515+M515-N515</f>
        <v>18800000</v>
      </c>
      <c r="P515" s="642">
        <v>18800000</v>
      </c>
      <c r="Q515" s="642"/>
      <c r="R515" s="642"/>
      <c r="S515" s="642"/>
      <c r="T515" s="641">
        <v>18800000</v>
      </c>
      <c r="U515" s="642">
        <v>18800000</v>
      </c>
      <c r="V515" s="648">
        <f t="shared" si="147"/>
        <v>1</v>
      </c>
      <c r="W515" s="644"/>
      <c r="X515" s="646">
        <f t="shared" si="146"/>
        <v>1</v>
      </c>
      <c r="Y515" s="646">
        <f t="shared" si="146"/>
        <v>0</v>
      </c>
      <c r="Z515" s="646">
        <f t="shared" si="146"/>
        <v>0</v>
      </c>
      <c r="AA515" s="646">
        <f t="shared" si="145"/>
        <v>0</v>
      </c>
    </row>
    <row r="516" spans="1:78" ht="22.5" customHeight="1" thickTop="1" thickBot="1" x14ac:dyDescent="0.3">
      <c r="A516" s="603">
        <v>1</v>
      </c>
      <c r="B516" s="603">
        <v>2</v>
      </c>
      <c r="C516" s="604" t="s">
        <v>1413</v>
      </c>
      <c r="D516" s="604"/>
      <c r="E516" s="604"/>
      <c r="F516" s="604"/>
      <c r="G516" s="604"/>
      <c r="H516" s="604"/>
      <c r="I516" s="604"/>
      <c r="J516" s="604"/>
      <c r="K516" s="605" t="s">
        <v>2511</v>
      </c>
      <c r="L516" s="606">
        <f>+L517</f>
        <v>7271340</v>
      </c>
      <c r="M516" s="606">
        <f t="shared" ref="M516:U516" si="153">+M517</f>
        <v>0</v>
      </c>
      <c r="N516" s="606">
        <f t="shared" si="153"/>
        <v>0</v>
      </c>
      <c r="O516" s="606">
        <f t="shared" si="153"/>
        <v>7271340</v>
      </c>
      <c r="P516" s="606">
        <f t="shared" si="153"/>
        <v>0</v>
      </c>
      <c r="Q516" s="606">
        <f t="shared" si="153"/>
        <v>0</v>
      </c>
      <c r="R516" s="606">
        <f t="shared" si="153"/>
        <v>0</v>
      </c>
      <c r="S516" s="606">
        <f t="shared" si="153"/>
        <v>7271340</v>
      </c>
      <c r="T516" s="606">
        <f t="shared" si="153"/>
        <v>7271340</v>
      </c>
      <c r="U516" s="606">
        <f t="shared" si="153"/>
        <v>7271340</v>
      </c>
      <c r="V516" s="607">
        <f>+U516/T516</f>
        <v>1</v>
      </c>
      <c r="W516" s="608"/>
      <c r="X516" s="609">
        <f t="shared" si="146"/>
        <v>0</v>
      </c>
      <c r="Y516" s="609">
        <f t="shared" si="146"/>
        <v>0</v>
      </c>
      <c r="Z516" s="609">
        <f t="shared" si="146"/>
        <v>0</v>
      </c>
      <c r="AA516" s="609">
        <f t="shared" si="145"/>
        <v>1</v>
      </c>
      <c r="AB516" s="610"/>
      <c r="AC516" s="610"/>
      <c r="AD516" s="610"/>
      <c r="AE516" s="610"/>
      <c r="AF516" s="610"/>
      <c r="AG516" s="610"/>
      <c r="AH516" s="610"/>
      <c r="AI516" s="610"/>
      <c r="AJ516" s="610"/>
      <c r="AK516" s="610"/>
      <c r="AL516" s="610"/>
      <c r="AM516" s="610"/>
      <c r="AN516" s="610"/>
      <c r="AO516" s="610"/>
      <c r="AP516" s="610"/>
      <c r="AQ516" s="610"/>
      <c r="AR516" s="610"/>
      <c r="AS516" s="610"/>
      <c r="AT516" s="610"/>
      <c r="AU516" s="610"/>
      <c r="AV516" s="610"/>
      <c r="AW516" s="610"/>
      <c r="AX516" s="610"/>
      <c r="AY516" s="610"/>
      <c r="AZ516" s="610"/>
      <c r="BA516" s="610"/>
      <c r="BB516" s="610"/>
      <c r="BC516" s="610"/>
      <c r="BD516" s="610"/>
      <c r="BE516" s="610"/>
      <c r="BF516" s="610"/>
      <c r="BG516" s="610"/>
      <c r="BH516" s="610"/>
      <c r="BI516" s="610"/>
      <c r="BJ516" s="610"/>
      <c r="BK516" s="610"/>
      <c r="BL516" s="610"/>
      <c r="BM516" s="610"/>
      <c r="BN516" s="610"/>
      <c r="BO516" s="610"/>
      <c r="BP516" s="610"/>
      <c r="BQ516" s="610"/>
      <c r="BR516" s="610"/>
      <c r="BS516" s="610"/>
      <c r="BT516" s="610"/>
      <c r="BU516" s="610"/>
      <c r="BV516" s="610"/>
      <c r="BW516" s="610"/>
      <c r="BX516" s="610"/>
      <c r="BY516" s="610"/>
      <c r="BZ516" s="610"/>
    </row>
    <row r="517" spans="1:78" ht="22.5" customHeight="1" thickTop="1" thickBot="1" x14ac:dyDescent="0.3">
      <c r="A517" s="451">
        <v>1</v>
      </c>
      <c r="B517" s="451">
        <v>2</v>
      </c>
      <c r="C517" s="450" t="s">
        <v>1413</v>
      </c>
      <c r="D517" s="450" t="s">
        <v>1345</v>
      </c>
      <c r="E517" s="450"/>
      <c r="F517" s="450"/>
      <c r="G517" s="450"/>
      <c r="H517" s="450"/>
      <c r="I517" s="450"/>
      <c r="J517" s="450"/>
      <c r="K517" s="691" t="s">
        <v>2512</v>
      </c>
      <c r="L517" s="641">
        <v>7271340</v>
      </c>
      <c r="M517" s="641">
        <v>0</v>
      </c>
      <c r="N517" s="641">
        <v>0</v>
      </c>
      <c r="O517" s="642">
        <f>+L517+M517-N517</f>
        <v>7271340</v>
      </c>
      <c r="P517" s="642"/>
      <c r="Q517" s="642"/>
      <c r="R517" s="642"/>
      <c r="S517" s="642">
        <v>7271340</v>
      </c>
      <c r="T517" s="641">
        <v>7271340</v>
      </c>
      <c r="U517" s="642">
        <v>7271340</v>
      </c>
      <c r="V517" s="679">
        <f t="shared" si="147"/>
        <v>1</v>
      </c>
      <c r="W517" s="644"/>
      <c r="X517" s="646">
        <f t="shared" si="146"/>
        <v>0</v>
      </c>
      <c r="Y517" s="646">
        <f t="shared" si="146"/>
        <v>0</v>
      </c>
      <c r="Z517" s="646">
        <f t="shared" si="146"/>
        <v>0</v>
      </c>
      <c r="AA517" s="646">
        <f t="shared" si="145"/>
        <v>1</v>
      </c>
    </row>
    <row r="518" spans="1:78" s="610" customFormat="1" ht="17.25" customHeight="1" thickTop="1" thickBot="1" x14ac:dyDescent="0.3">
      <c r="A518" s="603">
        <v>1</v>
      </c>
      <c r="B518" s="603">
        <v>2</v>
      </c>
      <c r="C518" s="604" t="s">
        <v>1413</v>
      </c>
      <c r="D518" s="604"/>
      <c r="E518" s="604"/>
      <c r="F518" s="604"/>
      <c r="G518" s="604"/>
      <c r="H518" s="604"/>
      <c r="I518" s="604"/>
      <c r="J518" s="604"/>
      <c r="K518" s="605" t="s">
        <v>1892</v>
      </c>
      <c r="L518" s="606"/>
      <c r="M518" s="606">
        <v>9067542770</v>
      </c>
      <c r="N518" s="606"/>
      <c r="O518" s="606">
        <f>+L518+M518-N518</f>
        <v>9067542770</v>
      </c>
      <c r="P518" s="606"/>
      <c r="Q518" s="606">
        <v>9067542770</v>
      </c>
      <c r="R518" s="606"/>
      <c r="S518" s="606"/>
      <c r="T518" s="606"/>
      <c r="U518" s="606"/>
      <c r="V518" s="607" t="e">
        <f t="shared" si="147"/>
        <v>#DIV/0!</v>
      </c>
      <c r="W518" s="608"/>
      <c r="X518" s="610">
        <f t="shared" si="146"/>
        <v>0</v>
      </c>
      <c r="Y518" s="610">
        <f t="shared" si="146"/>
        <v>1</v>
      </c>
      <c r="Z518" s="610">
        <f t="shared" si="146"/>
        <v>0</v>
      </c>
      <c r="AA518" s="610">
        <f t="shared" si="145"/>
        <v>0</v>
      </c>
    </row>
    <row r="519" spans="1:78" s="602" customFormat="1" ht="19.5" customHeight="1" thickTop="1" thickBot="1" x14ac:dyDescent="0.3">
      <c r="A519" s="690">
        <v>1</v>
      </c>
      <c r="B519" s="690">
        <v>3</v>
      </c>
      <c r="C519" s="445"/>
      <c r="D519" s="445"/>
      <c r="E519" s="445"/>
      <c r="F519" s="445"/>
      <c r="G519" s="445"/>
      <c r="H519" s="445"/>
      <c r="I519" s="445"/>
      <c r="J519" s="445"/>
      <c r="K519" s="597" t="s">
        <v>1893</v>
      </c>
      <c r="L519" s="598">
        <f t="shared" ref="L519:U519" si="154">+L520+L524</f>
        <v>0</v>
      </c>
      <c r="M519" s="598">
        <f t="shared" si="154"/>
        <v>0</v>
      </c>
      <c r="N519" s="598">
        <f t="shared" si="154"/>
        <v>0</v>
      </c>
      <c r="O519" s="598">
        <f t="shared" si="154"/>
        <v>0</v>
      </c>
      <c r="P519" s="598">
        <f t="shared" si="154"/>
        <v>0</v>
      </c>
      <c r="Q519" s="598">
        <f t="shared" si="154"/>
        <v>0</v>
      </c>
      <c r="R519" s="598">
        <f t="shared" si="154"/>
        <v>0</v>
      </c>
      <c r="S519" s="598">
        <f t="shared" si="154"/>
        <v>0</v>
      </c>
      <c r="T519" s="598">
        <f t="shared" si="154"/>
        <v>0</v>
      </c>
      <c r="U519" s="598">
        <f t="shared" si="154"/>
        <v>0</v>
      </c>
      <c r="V519" s="599" t="e">
        <f t="shared" si="147"/>
        <v>#DIV/0!</v>
      </c>
      <c r="W519" s="600"/>
      <c r="X519" s="602" t="e">
        <f t="shared" si="146"/>
        <v>#DIV/0!</v>
      </c>
      <c r="Y519" s="602" t="e">
        <f t="shared" si="146"/>
        <v>#DIV/0!</v>
      </c>
      <c r="Z519" s="602" t="e">
        <f t="shared" si="146"/>
        <v>#DIV/0!</v>
      </c>
      <c r="AA519" s="602" t="e">
        <f t="shared" si="146"/>
        <v>#DIV/0!</v>
      </c>
    </row>
    <row r="520" spans="1:78" s="610" customFormat="1" ht="22.5" customHeight="1" thickTop="1" thickBot="1" x14ac:dyDescent="0.3">
      <c r="A520" s="603">
        <v>1</v>
      </c>
      <c r="B520" s="603">
        <v>3</v>
      </c>
      <c r="C520" s="604" t="s">
        <v>1343</v>
      </c>
      <c r="D520" s="604"/>
      <c r="E520" s="604"/>
      <c r="F520" s="604"/>
      <c r="G520" s="604"/>
      <c r="H520" s="604"/>
      <c r="I520" s="604"/>
      <c r="J520" s="604"/>
      <c r="K520" s="605" t="s">
        <v>1370</v>
      </c>
      <c r="L520" s="606">
        <f>SUM(L521:L523)</f>
        <v>0</v>
      </c>
      <c r="M520" s="606">
        <f t="shared" ref="M520:U520" si="155">SUM(M521:M523)</f>
        <v>0</v>
      </c>
      <c r="N520" s="606">
        <f t="shared" si="155"/>
        <v>0</v>
      </c>
      <c r="O520" s="606">
        <f t="shared" si="155"/>
        <v>0</v>
      </c>
      <c r="P520" s="606">
        <f t="shared" si="155"/>
        <v>0</v>
      </c>
      <c r="Q520" s="606">
        <f t="shared" si="155"/>
        <v>0</v>
      </c>
      <c r="R520" s="606">
        <f t="shared" si="155"/>
        <v>0</v>
      </c>
      <c r="S520" s="606">
        <f t="shared" si="155"/>
        <v>0</v>
      </c>
      <c r="T520" s="606">
        <f t="shared" si="155"/>
        <v>0</v>
      </c>
      <c r="U520" s="606">
        <f t="shared" si="155"/>
        <v>0</v>
      </c>
      <c r="V520" s="607" t="e">
        <f t="shared" si="147"/>
        <v>#DIV/0!</v>
      </c>
      <c r="W520" s="608"/>
      <c r="X520" s="610" t="e">
        <f t="shared" ref="X520:AA532" si="156">+P520/$O520</f>
        <v>#DIV/0!</v>
      </c>
      <c r="Y520" s="610" t="e">
        <f t="shared" si="156"/>
        <v>#DIV/0!</v>
      </c>
      <c r="Z520" s="610" t="e">
        <f t="shared" si="156"/>
        <v>#DIV/0!</v>
      </c>
      <c r="AA520" s="610" t="e">
        <f t="shared" si="156"/>
        <v>#DIV/0!</v>
      </c>
    </row>
    <row r="521" spans="1:78" ht="17.25" customHeight="1" thickTop="1" thickBot="1" x14ac:dyDescent="0.3">
      <c r="A521" s="451">
        <v>1</v>
      </c>
      <c r="B521" s="451">
        <v>3</v>
      </c>
      <c r="C521" s="450" t="s">
        <v>1343</v>
      </c>
      <c r="D521" s="450" t="s">
        <v>1345</v>
      </c>
      <c r="E521" s="450"/>
      <c r="F521" s="450"/>
      <c r="G521" s="450"/>
      <c r="H521" s="450"/>
      <c r="I521" s="450"/>
      <c r="J521" s="450"/>
      <c r="K521" s="647" t="s">
        <v>1371</v>
      </c>
      <c r="L521" s="641"/>
      <c r="M521" s="641"/>
      <c r="N521" s="641"/>
      <c r="O521" s="641">
        <f>+L521+M521-N521</f>
        <v>0</v>
      </c>
      <c r="P521" s="641"/>
      <c r="Q521" s="641"/>
      <c r="R521" s="641"/>
      <c r="S521" s="641"/>
      <c r="T521" s="641"/>
      <c r="U521" s="641"/>
      <c r="V521" s="648" t="e">
        <f t="shared" si="147"/>
        <v>#DIV/0!</v>
      </c>
      <c r="W521" s="644"/>
      <c r="X521" s="584" t="e">
        <f t="shared" si="156"/>
        <v>#DIV/0!</v>
      </c>
      <c r="Y521" s="584" t="e">
        <f t="shared" si="156"/>
        <v>#DIV/0!</v>
      </c>
      <c r="Z521" s="584" t="e">
        <f t="shared" si="156"/>
        <v>#DIV/0!</v>
      </c>
      <c r="AA521" s="584" t="e">
        <f t="shared" si="156"/>
        <v>#DIV/0!</v>
      </c>
    </row>
    <row r="522" spans="1:78" ht="15" customHeight="1" thickTop="1" thickBot="1" x14ac:dyDescent="0.3">
      <c r="A522" s="451">
        <v>1</v>
      </c>
      <c r="B522" s="451">
        <v>3</v>
      </c>
      <c r="C522" s="450" t="s">
        <v>1343</v>
      </c>
      <c r="D522" s="450" t="s">
        <v>1350</v>
      </c>
      <c r="E522" s="450"/>
      <c r="F522" s="450"/>
      <c r="G522" s="450"/>
      <c r="H522" s="450"/>
      <c r="I522" s="450"/>
      <c r="J522" s="450"/>
      <c r="K522" s="647" t="s">
        <v>1372</v>
      </c>
      <c r="L522" s="641"/>
      <c r="M522" s="641"/>
      <c r="N522" s="641"/>
      <c r="O522" s="641">
        <f>+L522+M522-N522</f>
        <v>0</v>
      </c>
      <c r="P522" s="641"/>
      <c r="Q522" s="641"/>
      <c r="R522" s="641"/>
      <c r="S522" s="641"/>
      <c r="T522" s="641"/>
      <c r="U522" s="641"/>
      <c r="V522" s="648" t="e">
        <f t="shared" si="147"/>
        <v>#DIV/0!</v>
      </c>
      <c r="W522" s="644"/>
      <c r="X522" s="584" t="e">
        <f t="shared" si="156"/>
        <v>#DIV/0!</v>
      </c>
      <c r="Y522" s="584" t="e">
        <f t="shared" si="156"/>
        <v>#DIV/0!</v>
      </c>
      <c r="Z522" s="584" t="e">
        <f t="shared" si="156"/>
        <v>#DIV/0!</v>
      </c>
      <c r="AA522" s="584" t="e">
        <f t="shared" si="156"/>
        <v>#DIV/0!</v>
      </c>
    </row>
    <row r="523" spans="1:78" ht="19.5" customHeight="1" thickTop="1" thickBot="1" x14ac:dyDescent="0.3">
      <c r="A523" s="451">
        <v>1</v>
      </c>
      <c r="B523" s="451">
        <v>3</v>
      </c>
      <c r="C523" s="450" t="s">
        <v>1343</v>
      </c>
      <c r="D523" s="450" t="s">
        <v>1354</v>
      </c>
      <c r="E523" s="450"/>
      <c r="F523" s="450"/>
      <c r="G523" s="450"/>
      <c r="H523" s="450"/>
      <c r="I523" s="450"/>
      <c r="J523" s="450"/>
      <c r="K523" s="647" t="s">
        <v>1373</v>
      </c>
      <c r="L523" s="641"/>
      <c r="M523" s="641"/>
      <c r="N523" s="641"/>
      <c r="O523" s="641">
        <f>+L523+M523-N523</f>
        <v>0</v>
      </c>
      <c r="P523" s="641"/>
      <c r="Q523" s="641"/>
      <c r="R523" s="641"/>
      <c r="S523" s="641"/>
      <c r="T523" s="641"/>
      <c r="U523" s="641"/>
      <c r="V523" s="648" t="e">
        <f t="shared" si="147"/>
        <v>#DIV/0!</v>
      </c>
      <c r="W523" s="644"/>
      <c r="X523" s="584" t="e">
        <f t="shared" si="156"/>
        <v>#DIV/0!</v>
      </c>
      <c r="Y523" s="584" t="e">
        <f t="shared" si="156"/>
        <v>#DIV/0!</v>
      </c>
      <c r="Z523" s="584" t="e">
        <f t="shared" si="156"/>
        <v>#DIV/0!</v>
      </c>
      <c r="AA523" s="584" t="e">
        <f t="shared" si="156"/>
        <v>#DIV/0!</v>
      </c>
    </row>
    <row r="524" spans="1:78" s="610" customFormat="1" ht="18.75" customHeight="1" thickTop="1" thickBot="1" x14ac:dyDescent="0.3">
      <c r="A524" s="603">
        <v>1</v>
      </c>
      <c r="B524" s="603">
        <v>3</v>
      </c>
      <c r="C524" s="604" t="s">
        <v>1413</v>
      </c>
      <c r="D524" s="604"/>
      <c r="E524" s="604"/>
      <c r="F524" s="604"/>
      <c r="G524" s="604"/>
      <c r="H524" s="604"/>
      <c r="I524" s="604"/>
      <c r="J524" s="604"/>
      <c r="K524" s="605" t="s">
        <v>1374</v>
      </c>
      <c r="L524" s="606"/>
      <c r="M524" s="606">
        <f>+M525+M529+M530</f>
        <v>0</v>
      </c>
      <c r="N524" s="606"/>
      <c r="O524" s="606">
        <f>+L524+M524-N524</f>
        <v>0</v>
      </c>
      <c r="P524" s="606"/>
      <c r="Q524" s="606"/>
      <c r="R524" s="606"/>
      <c r="S524" s="606"/>
      <c r="T524" s="606"/>
      <c r="U524" s="606"/>
      <c r="V524" s="607" t="e">
        <f t="shared" si="147"/>
        <v>#DIV/0!</v>
      </c>
      <c r="W524" s="608"/>
      <c r="X524" s="610" t="e">
        <f t="shared" si="156"/>
        <v>#DIV/0!</v>
      </c>
      <c r="Y524" s="610" t="e">
        <f t="shared" si="156"/>
        <v>#DIV/0!</v>
      </c>
      <c r="Z524" s="610" t="e">
        <f t="shared" si="156"/>
        <v>#DIV/0!</v>
      </c>
      <c r="AA524" s="610" t="e">
        <f t="shared" si="156"/>
        <v>#DIV/0!</v>
      </c>
    </row>
    <row r="525" spans="1:78" s="602" customFormat="1" ht="17.25" customHeight="1" thickTop="1" thickBot="1" x14ac:dyDescent="0.3">
      <c r="A525" s="690">
        <v>1</v>
      </c>
      <c r="B525" s="690">
        <v>4</v>
      </c>
      <c r="C525" s="445"/>
      <c r="D525" s="445"/>
      <c r="E525" s="445"/>
      <c r="F525" s="445"/>
      <c r="G525" s="445"/>
      <c r="H525" s="445"/>
      <c r="I525" s="445"/>
      <c r="J525" s="445"/>
      <c r="K525" s="597" t="s">
        <v>1375</v>
      </c>
      <c r="L525" s="598"/>
      <c r="M525" s="598"/>
      <c r="N525" s="598"/>
      <c r="O525" s="598">
        <f>+L525+M525-N525</f>
        <v>0</v>
      </c>
      <c r="P525" s="598"/>
      <c r="Q525" s="598"/>
      <c r="R525" s="598"/>
      <c r="S525" s="598"/>
      <c r="T525" s="598"/>
      <c r="U525" s="598"/>
      <c r="V525" s="599" t="e">
        <f t="shared" si="147"/>
        <v>#DIV/0!</v>
      </c>
      <c r="W525" s="600"/>
      <c r="X525" s="602" t="e">
        <f t="shared" si="156"/>
        <v>#DIV/0!</v>
      </c>
      <c r="Y525" s="602" t="e">
        <f t="shared" si="156"/>
        <v>#DIV/0!</v>
      </c>
      <c r="Z525" s="602" t="e">
        <f t="shared" si="156"/>
        <v>#DIV/0!</v>
      </c>
      <c r="AA525" s="602" t="e">
        <f t="shared" si="156"/>
        <v>#DIV/0!</v>
      </c>
    </row>
    <row r="526" spans="1:78" s="602" customFormat="1" ht="22.5" customHeight="1" thickTop="1" thickBot="1" x14ac:dyDescent="0.3">
      <c r="A526" s="690">
        <v>1</v>
      </c>
      <c r="B526" s="690" t="s">
        <v>2513</v>
      </c>
      <c r="C526" s="445"/>
      <c r="D526" s="445"/>
      <c r="E526" s="445"/>
      <c r="F526" s="445"/>
      <c r="G526" s="445"/>
      <c r="H526" s="445"/>
      <c r="I526" s="445"/>
      <c r="J526" s="445"/>
      <c r="K526" s="597" t="s">
        <v>1376</v>
      </c>
      <c r="L526" s="598">
        <f t="shared" ref="L526:U526" si="157">+L527+L531+L532</f>
        <v>79057608517</v>
      </c>
      <c r="M526" s="598">
        <f t="shared" si="157"/>
        <v>0</v>
      </c>
      <c r="N526" s="598">
        <f t="shared" si="157"/>
        <v>0</v>
      </c>
      <c r="O526" s="598">
        <f t="shared" si="157"/>
        <v>79057608517</v>
      </c>
      <c r="P526" s="598">
        <f t="shared" si="157"/>
        <v>0</v>
      </c>
      <c r="Q526" s="598">
        <f t="shared" si="157"/>
        <v>79057608517</v>
      </c>
      <c r="R526" s="598">
        <f t="shared" si="157"/>
        <v>0</v>
      </c>
      <c r="S526" s="598">
        <f t="shared" si="157"/>
        <v>0</v>
      </c>
      <c r="T526" s="598">
        <f t="shared" si="157"/>
        <v>65699767403</v>
      </c>
      <c r="U526" s="598">
        <f t="shared" si="157"/>
        <v>65699767403</v>
      </c>
      <c r="V526" s="599">
        <f t="shared" si="147"/>
        <v>1</v>
      </c>
      <c r="W526" s="600"/>
      <c r="X526" s="601">
        <f t="shared" si="156"/>
        <v>0</v>
      </c>
      <c r="Y526" s="601">
        <f t="shared" si="156"/>
        <v>1</v>
      </c>
      <c r="Z526" s="601">
        <f t="shared" si="156"/>
        <v>0</v>
      </c>
      <c r="AA526" s="601">
        <f t="shared" si="156"/>
        <v>0</v>
      </c>
    </row>
    <row r="527" spans="1:78" s="610" customFormat="1" ht="22.5" hidden="1" customHeight="1" thickTop="1" thickBot="1" x14ac:dyDescent="0.3">
      <c r="A527" s="603">
        <v>1</v>
      </c>
      <c r="B527" s="603" t="s">
        <v>2513</v>
      </c>
      <c r="C527" s="604" t="s">
        <v>1343</v>
      </c>
      <c r="D527" s="604"/>
      <c r="E527" s="604"/>
      <c r="F527" s="604"/>
      <c r="G527" s="604"/>
      <c r="H527" s="604"/>
      <c r="I527" s="604"/>
      <c r="J527" s="604"/>
      <c r="K527" s="605" t="s">
        <v>1377</v>
      </c>
      <c r="L527" s="606">
        <f>SUM(L528:L530)</f>
        <v>0</v>
      </c>
      <c r="M527" s="606">
        <f t="shared" ref="M527:U527" si="158">SUM(M528:M530)</f>
        <v>0</v>
      </c>
      <c r="N527" s="606">
        <f t="shared" si="158"/>
        <v>0</v>
      </c>
      <c r="O527" s="606">
        <f t="shared" si="158"/>
        <v>0</v>
      </c>
      <c r="P527" s="606">
        <f t="shared" si="158"/>
        <v>0</v>
      </c>
      <c r="Q527" s="606">
        <f t="shared" si="158"/>
        <v>0</v>
      </c>
      <c r="R527" s="606">
        <f t="shared" si="158"/>
        <v>0</v>
      </c>
      <c r="S527" s="606">
        <f t="shared" si="158"/>
        <v>0</v>
      </c>
      <c r="T527" s="606">
        <f t="shared" si="158"/>
        <v>0</v>
      </c>
      <c r="U527" s="606">
        <f t="shared" si="158"/>
        <v>0</v>
      </c>
      <c r="V527" s="607" t="e">
        <f t="shared" si="147"/>
        <v>#DIV/0!</v>
      </c>
      <c r="W527" s="608"/>
      <c r="X527" s="610" t="e">
        <f t="shared" si="156"/>
        <v>#DIV/0!</v>
      </c>
      <c r="Y527" s="610" t="e">
        <f t="shared" si="156"/>
        <v>#DIV/0!</v>
      </c>
      <c r="Z527" s="610" t="e">
        <f t="shared" si="156"/>
        <v>#DIV/0!</v>
      </c>
      <c r="AA527" s="610" t="e">
        <f t="shared" si="156"/>
        <v>#DIV/0!</v>
      </c>
    </row>
    <row r="528" spans="1:78" ht="22.5" hidden="1" customHeight="1" thickTop="1" thickBot="1" x14ac:dyDescent="0.3">
      <c r="A528" s="451">
        <v>1</v>
      </c>
      <c r="B528" s="450" t="s">
        <v>2513</v>
      </c>
      <c r="C528" s="450" t="s">
        <v>1343</v>
      </c>
      <c r="D528" s="450" t="s">
        <v>1345</v>
      </c>
      <c r="E528" s="450"/>
      <c r="F528" s="450"/>
      <c r="G528" s="450"/>
      <c r="H528" s="450"/>
      <c r="I528" s="450"/>
      <c r="J528" s="450"/>
      <c r="K528" s="647" t="s">
        <v>1894</v>
      </c>
      <c r="L528" s="641"/>
      <c r="M528" s="641"/>
      <c r="N528" s="641"/>
      <c r="O528" s="641">
        <f>+L528+M528-N528</f>
        <v>0</v>
      </c>
      <c r="P528" s="641"/>
      <c r="Q528" s="641"/>
      <c r="R528" s="641"/>
      <c r="S528" s="641"/>
      <c r="T528" s="641"/>
      <c r="U528" s="641"/>
      <c r="V528" s="648" t="e">
        <f>+U528/T528</f>
        <v>#DIV/0!</v>
      </c>
      <c r="W528" s="644"/>
      <c r="X528" s="584" t="e">
        <f t="shared" si="156"/>
        <v>#DIV/0!</v>
      </c>
      <c r="Y528" s="584" t="e">
        <f t="shared" si="156"/>
        <v>#DIV/0!</v>
      </c>
      <c r="Z528" s="584" t="e">
        <f t="shared" si="156"/>
        <v>#DIV/0!</v>
      </c>
      <c r="AA528" s="584" t="e">
        <f t="shared" si="156"/>
        <v>#DIV/0!</v>
      </c>
    </row>
    <row r="529" spans="1:27" ht="22.5" hidden="1" customHeight="1" thickTop="1" thickBot="1" x14ac:dyDescent="0.3">
      <c r="A529" s="451">
        <v>1</v>
      </c>
      <c r="B529" s="450" t="s">
        <v>2513</v>
      </c>
      <c r="C529" s="450" t="s">
        <v>1343</v>
      </c>
      <c r="D529" s="450" t="s">
        <v>1350</v>
      </c>
      <c r="E529" s="450"/>
      <c r="F529" s="450"/>
      <c r="G529" s="450"/>
      <c r="H529" s="450"/>
      <c r="I529" s="450"/>
      <c r="J529" s="450"/>
      <c r="K529" s="647" t="s">
        <v>1895</v>
      </c>
      <c r="L529" s="641"/>
      <c r="M529" s="641"/>
      <c r="N529" s="641"/>
      <c r="O529" s="641">
        <f>+L529+M529-N529</f>
        <v>0</v>
      </c>
      <c r="P529" s="641"/>
      <c r="Q529" s="641"/>
      <c r="R529" s="641"/>
      <c r="S529" s="641"/>
      <c r="T529" s="641"/>
      <c r="U529" s="641"/>
      <c r="V529" s="648" t="e">
        <f>+U529/T529</f>
        <v>#DIV/0!</v>
      </c>
      <c r="W529" s="644"/>
      <c r="X529" s="584" t="e">
        <f t="shared" si="156"/>
        <v>#DIV/0!</v>
      </c>
      <c r="Y529" s="584" t="e">
        <f t="shared" si="156"/>
        <v>#DIV/0!</v>
      </c>
      <c r="Z529" s="584" t="e">
        <f t="shared" si="156"/>
        <v>#DIV/0!</v>
      </c>
      <c r="AA529" s="584" t="e">
        <f t="shared" si="156"/>
        <v>#DIV/0!</v>
      </c>
    </row>
    <row r="530" spans="1:27" ht="22.5" hidden="1" customHeight="1" thickTop="1" thickBot="1" x14ac:dyDescent="0.3">
      <c r="A530" s="451">
        <v>1</v>
      </c>
      <c r="B530" s="450" t="s">
        <v>2513</v>
      </c>
      <c r="C530" s="450" t="s">
        <v>1343</v>
      </c>
      <c r="D530" s="450" t="s">
        <v>1354</v>
      </c>
      <c r="E530" s="450"/>
      <c r="F530" s="450"/>
      <c r="G530" s="450"/>
      <c r="H530" s="450"/>
      <c r="I530" s="450"/>
      <c r="J530" s="450"/>
      <c r="K530" s="647" t="s">
        <v>1896</v>
      </c>
      <c r="L530" s="641"/>
      <c r="M530" s="641"/>
      <c r="N530" s="641"/>
      <c r="O530" s="641">
        <f>+L530+M530-N530</f>
        <v>0</v>
      </c>
      <c r="P530" s="641"/>
      <c r="Q530" s="641"/>
      <c r="R530" s="641"/>
      <c r="S530" s="641"/>
      <c r="T530" s="641"/>
      <c r="U530" s="641"/>
      <c r="V530" s="648" t="e">
        <f>+U530/T530</f>
        <v>#DIV/0!</v>
      </c>
      <c r="W530" s="644"/>
      <c r="X530" s="584" t="e">
        <f t="shared" si="156"/>
        <v>#DIV/0!</v>
      </c>
      <c r="Y530" s="584" t="e">
        <f t="shared" si="156"/>
        <v>#DIV/0!</v>
      </c>
      <c r="Z530" s="584" t="e">
        <f t="shared" si="156"/>
        <v>#DIV/0!</v>
      </c>
      <c r="AA530" s="584" t="e">
        <f t="shared" si="156"/>
        <v>#DIV/0!</v>
      </c>
    </row>
    <row r="531" spans="1:27" s="610" customFormat="1" ht="22.5" hidden="1" customHeight="1" thickTop="1" thickBot="1" x14ac:dyDescent="0.3">
      <c r="A531" s="603">
        <v>1</v>
      </c>
      <c r="B531" s="603" t="s">
        <v>2513</v>
      </c>
      <c r="C531" s="604" t="s">
        <v>1413</v>
      </c>
      <c r="D531" s="604"/>
      <c r="E531" s="604"/>
      <c r="F531" s="604"/>
      <c r="G531" s="604"/>
      <c r="H531" s="604"/>
      <c r="I531" s="604"/>
      <c r="J531" s="604"/>
      <c r="K531" s="605" t="s">
        <v>1378</v>
      </c>
      <c r="L531" s="606"/>
      <c r="M531" s="606"/>
      <c r="N531" s="606"/>
      <c r="O531" s="606">
        <f>+L531+M531-N531</f>
        <v>0</v>
      </c>
      <c r="P531" s="606"/>
      <c r="Q531" s="606"/>
      <c r="R531" s="606"/>
      <c r="S531" s="606"/>
      <c r="T531" s="606"/>
      <c r="U531" s="606"/>
      <c r="V531" s="607" t="e">
        <f>+U531/T531</f>
        <v>#DIV/0!</v>
      </c>
      <c r="W531" s="608"/>
      <c r="X531" s="610" t="e">
        <f t="shared" si="156"/>
        <v>#DIV/0!</v>
      </c>
      <c r="Y531" s="610" t="e">
        <f t="shared" si="156"/>
        <v>#DIV/0!</v>
      </c>
      <c r="Z531" s="610" t="e">
        <f t="shared" si="156"/>
        <v>#DIV/0!</v>
      </c>
      <c r="AA531" s="610" t="e">
        <f t="shared" si="156"/>
        <v>#DIV/0!</v>
      </c>
    </row>
    <row r="532" spans="1:27" s="610" customFormat="1" ht="22.5" customHeight="1" thickTop="1" thickBot="1" x14ac:dyDescent="0.3">
      <c r="A532" s="603">
        <v>1</v>
      </c>
      <c r="B532" s="603" t="s">
        <v>2513</v>
      </c>
      <c r="C532" s="604" t="s">
        <v>2076</v>
      </c>
      <c r="D532" s="604"/>
      <c r="E532" s="604"/>
      <c r="F532" s="604"/>
      <c r="G532" s="604"/>
      <c r="H532" s="604"/>
      <c r="I532" s="604"/>
      <c r="J532" s="604"/>
      <c r="K532" s="692" t="s">
        <v>1379</v>
      </c>
      <c r="L532" s="678">
        <v>79057608517</v>
      </c>
      <c r="M532" s="678">
        <v>0</v>
      </c>
      <c r="N532" s="678">
        <v>0</v>
      </c>
      <c r="O532" s="678">
        <f>+L532+M532-N532</f>
        <v>79057608517</v>
      </c>
      <c r="P532" s="678"/>
      <c r="Q532" s="678">
        <v>79057608517</v>
      </c>
      <c r="R532" s="678"/>
      <c r="S532" s="678"/>
      <c r="T532" s="678">
        <v>65699767403</v>
      </c>
      <c r="U532" s="678">
        <v>65699767403</v>
      </c>
      <c r="V532" s="679">
        <f>+U532/T532</f>
        <v>1</v>
      </c>
      <c r="W532" s="680"/>
      <c r="X532" s="609">
        <f t="shared" si="156"/>
        <v>0</v>
      </c>
      <c r="Y532" s="609">
        <f t="shared" si="156"/>
        <v>1</v>
      </c>
      <c r="Z532" s="609">
        <f t="shared" si="156"/>
        <v>0</v>
      </c>
      <c r="AA532" s="609">
        <f t="shared" si="156"/>
        <v>0</v>
      </c>
    </row>
    <row r="533" spans="1:27" ht="22.5" customHeight="1" thickTop="1" x14ac:dyDescent="0.25">
      <c r="A533" s="693"/>
      <c r="B533" s="693"/>
      <c r="C533" s="694"/>
      <c r="D533" s="694"/>
      <c r="E533" s="694"/>
      <c r="F533" s="694"/>
      <c r="G533" s="694"/>
      <c r="H533" s="694"/>
      <c r="I533" s="694"/>
      <c r="J533" s="694"/>
      <c r="K533" s="695"/>
      <c r="L533" s="696"/>
      <c r="M533" s="696"/>
      <c r="N533" s="696"/>
      <c r="O533" s="696"/>
      <c r="P533" s="696"/>
      <c r="Q533" s="696"/>
      <c r="R533" s="696"/>
      <c r="S533" s="696"/>
      <c r="T533" s="696"/>
      <c r="U533" s="696"/>
      <c r="V533" s="697"/>
      <c r="W533" s="698"/>
    </row>
    <row r="534" spans="1:27" ht="22.5" customHeight="1" x14ac:dyDescent="0.25">
      <c r="A534" s="693"/>
      <c r="B534" s="694"/>
      <c r="C534" s="694"/>
      <c r="D534" s="694"/>
      <c r="E534" s="694"/>
      <c r="F534" s="694"/>
      <c r="G534" s="694"/>
      <c r="H534" s="694"/>
      <c r="I534" s="694"/>
      <c r="J534" s="694"/>
      <c r="K534" s="695"/>
      <c r="L534" s="699"/>
      <c r="M534" s="699"/>
      <c r="N534" s="699"/>
      <c r="O534" s="699"/>
      <c r="P534" s="699">
        <f t="shared" ref="P534:S534" si="159">+P7-P526</f>
        <v>23335694413</v>
      </c>
      <c r="Q534" s="699">
        <f t="shared" si="159"/>
        <v>107471465565</v>
      </c>
      <c r="R534" s="699">
        <f t="shared" si="159"/>
        <v>1175611498</v>
      </c>
      <c r="S534" s="699">
        <f t="shared" si="159"/>
        <v>1431531930</v>
      </c>
      <c r="T534" s="696"/>
      <c r="U534" s="699"/>
      <c r="V534" s="697"/>
      <c r="W534" s="698"/>
    </row>
    <row r="535" spans="1:27" ht="22.5" customHeight="1" x14ac:dyDescent="0.25">
      <c r="A535" s="693"/>
      <c r="B535" s="694"/>
      <c r="C535" s="694"/>
      <c r="D535" s="694"/>
      <c r="E535" s="694"/>
      <c r="F535" s="694"/>
      <c r="G535" s="694"/>
      <c r="H535" s="694"/>
      <c r="I535" s="694"/>
      <c r="J535" s="694"/>
      <c r="K535" s="695"/>
      <c r="L535" s="696"/>
      <c r="M535" s="696"/>
      <c r="N535" s="696"/>
      <c r="O535" s="699"/>
      <c r="P535" s="696"/>
      <c r="Q535" s="696"/>
      <c r="R535" s="696"/>
      <c r="S535" s="696"/>
      <c r="T535" s="696"/>
      <c r="U535" s="699"/>
      <c r="V535" s="697"/>
      <c r="W535" s="698"/>
    </row>
    <row r="536" spans="1:27" ht="22.5" customHeight="1" x14ac:dyDescent="0.25">
      <c r="A536" s="693"/>
      <c r="B536" s="694"/>
      <c r="C536" s="694"/>
      <c r="D536" s="694"/>
      <c r="E536" s="694"/>
      <c r="F536" s="694"/>
      <c r="G536" s="694"/>
      <c r="H536" s="694"/>
      <c r="I536" s="694"/>
      <c r="J536" s="694"/>
      <c r="K536" s="695"/>
      <c r="L536" s="696"/>
      <c r="M536" s="696"/>
      <c r="N536" s="696"/>
      <c r="O536" s="696"/>
      <c r="P536" s="696"/>
      <c r="Q536" s="696"/>
      <c r="R536" s="696"/>
      <c r="S536" s="696"/>
      <c r="T536" s="696"/>
      <c r="U536" s="696"/>
      <c r="V536" s="697"/>
      <c r="W536" s="698"/>
    </row>
    <row r="537" spans="1:27" ht="22.5" customHeight="1" x14ac:dyDescent="0.25">
      <c r="A537" s="693"/>
      <c r="B537" s="694"/>
      <c r="C537" s="694"/>
      <c r="D537" s="694"/>
      <c r="E537" s="694"/>
      <c r="F537" s="694"/>
      <c r="G537" s="694"/>
      <c r="H537" s="694"/>
      <c r="I537" s="694"/>
      <c r="J537" s="694"/>
      <c r="K537" s="695"/>
      <c r="L537" s="696"/>
      <c r="M537" s="696"/>
      <c r="N537" s="696"/>
      <c r="O537" s="696"/>
      <c r="P537" s="696"/>
      <c r="Q537" s="696"/>
      <c r="R537" s="696"/>
      <c r="S537" s="696"/>
      <c r="T537" s="696"/>
      <c r="U537" s="696"/>
      <c r="V537" s="697"/>
      <c r="W537" s="698"/>
    </row>
    <row r="538" spans="1:27" ht="22.5" customHeight="1" x14ac:dyDescent="0.25">
      <c r="A538" s="693"/>
      <c r="B538" s="694"/>
      <c r="C538" s="694"/>
      <c r="D538" s="694"/>
      <c r="E538" s="694"/>
      <c r="F538" s="694"/>
      <c r="G538" s="694"/>
      <c r="H538" s="694"/>
      <c r="I538" s="694"/>
      <c r="J538" s="694"/>
      <c r="K538" s="695"/>
      <c r="L538" s="696"/>
      <c r="M538" s="696"/>
      <c r="N538" s="696"/>
      <c r="O538" s="696"/>
      <c r="P538" s="696"/>
      <c r="Q538" s="696"/>
      <c r="R538" s="696"/>
      <c r="S538" s="696"/>
      <c r="T538" s="696"/>
      <c r="U538" s="696"/>
      <c r="V538" s="697"/>
      <c r="W538" s="698"/>
    </row>
    <row r="539" spans="1:27" ht="22.5" customHeight="1" x14ac:dyDescent="0.25">
      <c r="A539" s="693"/>
      <c r="B539" s="694"/>
      <c r="C539" s="694"/>
      <c r="D539" s="694"/>
      <c r="E539" s="694"/>
      <c r="F539" s="694"/>
      <c r="G539" s="694"/>
      <c r="H539" s="694"/>
      <c r="I539" s="694"/>
      <c r="J539" s="694"/>
      <c r="K539" s="695"/>
      <c r="L539" s="696"/>
      <c r="M539" s="696"/>
      <c r="N539" s="696"/>
      <c r="O539" s="696"/>
      <c r="P539" s="696"/>
      <c r="Q539" s="696"/>
      <c r="R539" s="696"/>
      <c r="S539" s="696"/>
      <c r="T539" s="696"/>
      <c r="U539" s="696"/>
      <c r="V539" s="697"/>
      <c r="W539" s="698"/>
    </row>
    <row r="540" spans="1:27" ht="22.5" customHeight="1" x14ac:dyDescent="0.25">
      <c r="A540" s="693"/>
      <c r="B540" s="694"/>
      <c r="C540" s="694"/>
      <c r="D540" s="694"/>
      <c r="E540" s="694"/>
      <c r="F540" s="694"/>
      <c r="G540" s="694"/>
      <c r="H540" s="694"/>
      <c r="I540" s="694"/>
      <c r="J540" s="694"/>
      <c r="K540" s="695"/>
      <c r="L540" s="696"/>
      <c r="M540" s="696"/>
      <c r="N540" s="696"/>
      <c r="O540" s="696"/>
      <c r="P540" s="696"/>
      <c r="Q540" s="696"/>
      <c r="R540" s="696"/>
      <c r="S540" s="696"/>
      <c r="T540" s="696"/>
      <c r="U540" s="696"/>
      <c r="V540" s="697"/>
      <c r="W540" s="698"/>
    </row>
    <row r="541" spans="1:27" ht="22.5" customHeight="1" x14ac:dyDescent="0.25">
      <c r="A541" s="693"/>
      <c r="B541" s="694"/>
      <c r="C541" s="694"/>
      <c r="D541" s="694"/>
      <c r="E541" s="694"/>
      <c r="F541" s="694"/>
      <c r="G541" s="694"/>
      <c r="H541" s="694"/>
      <c r="I541" s="694"/>
      <c r="J541" s="694"/>
      <c r="K541" s="695"/>
      <c r="L541" s="696"/>
      <c r="M541" s="696"/>
      <c r="N541" s="696"/>
      <c r="O541" s="696"/>
      <c r="P541" s="696"/>
      <c r="Q541" s="696"/>
      <c r="R541" s="696"/>
      <c r="S541" s="696"/>
      <c r="T541" s="696"/>
      <c r="U541" s="696"/>
      <c r="V541" s="697"/>
      <c r="W541" s="698"/>
    </row>
    <row r="542" spans="1:27" ht="22.5" customHeight="1" x14ac:dyDescent="0.25">
      <c r="A542" s="693"/>
      <c r="B542" s="694"/>
      <c r="C542" s="694"/>
      <c r="D542" s="694"/>
      <c r="E542" s="694"/>
      <c r="F542" s="694"/>
      <c r="G542" s="694"/>
      <c r="H542" s="694"/>
      <c r="I542" s="694"/>
      <c r="J542" s="694"/>
      <c r="K542" s="695"/>
      <c r="L542" s="696"/>
      <c r="M542" s="696"/>
      <c r="N542" s="696"/>
      <c r="O542" s="696"/>
      <c r="P542" s="696"/>
      <c r="Q542" s="696"/>
      <c r="R542" s="696"/>
      <c r="S542" s="696"/>
      <c r="T542" s="696"/>
      <c r="U542" s="696"/>
      <c r="V542" s="697"/>
      <c r="W542" s="698"/>
    </row>
    <row r="543" spans="1:27" ht="22.5" customHeight="1" x14ac:dyDescent="0.25">
      <c r="A543" s="693"/>
      <c r="B543" s="694"/>
      <c r="C543" s="694"/>
      <c r="D543" s="694"/>
      <c r="E543" s="694"/>
      <c r="F543" s="694"/>
      <c r="G543" s="694"/>
      <c r="H543" s="694"/>
      <c r="I543" s="694"/>
      <c r="J543" s="694"/>
      <c r="K543" s="695"/>
      <c r="L543" s="696"/>
      <c r="M543" s="696"/>
      <c r="N543" s="696"/>
      <c r="O543" s="696"/>
      <c r="P543" s="696"/>
      <c r="Q543" s="696"/>
      <c r="R543" s="696"/>
      <c r="S543" s="696"/>
      <c r="T543" s="696"/>
      <c r="U543" s="696"/>
      <c r="V543" s="697"/>
      <c r="W543" s="698"/>
    </row>
    <row r="544" spans="1:27" ht="22.5" customHeight="1" x14ac:dyDescent="0.25">
      <c r="A544" s="693"/>
      <c r="B544" s="694"/>
      <c r="C544" s="694"/>
      <c r="D544" s="694"/>
      <c r="E544" s="694"/>
      <c r="F544" s="694"/>
      <c r="G544" s="694"/>
      <c r="H544" s="694"/>
      <c r="I544" s="694"/>
      <c r="J544" s="694"/>
      <c r="K544" s="695"/>
      <c r="L544" s="700"/>
      <c r="M544" s="700"/>
      <c r="N544" s="700"/>
      <c r="O544" s="700"/>
      <c r="P544" s="700"/>
      <c r="Q544" s="700"/>
      <c r="R544" s="700"/>
      <c r="S544" s="700"/>
      <c r="T544" s="700"/>
      <c r="U544" s="700"/>
      <c r="V544" s="697"/>
      <c r="W544" s="698"/>
    </row>
    <row r="545" spans="1:23" ht="22.5" customHeight="1" x14ac:dyDescent="0.25">
      <c r="A545" s="693"/>
      <c r="B545" s="694"/>
      <c r="C545" s="694"/>
      <c r="D545" s="694"/>
      <c r="E545" s="694"/>
      <c r="F545" s="694"/>
      <c r="G545" s="694"/>
      <c r="H545" s="694"/>
      <c r="I545" s="694"/>
      <c r="J545" s="694"/>
      <c r="K545" s="695"/>
      <c r="L545" s="700"/>
      <c r="M545" s="700"/>
      <c r="N545" s="700"/>
      <c r="O545" s="700"/>
      <c r="P545" s="700"/>
      <c r="Q545" s="700"/>
      <c r="R545" s="700"/>
      <c r="S545" s="700"/>
      <c r="T545" s="700"/>
      <c r="U545" s="700"/>
      <c r="V545" s="697"/>
      <c r="W545" s="698"/>
    </row>
    <row r="546" spans="1:23" ht="22.5" customHeight="1" x14ac:dyDescent="0.25">
      <c r="A546" s="693"/>
      <c r="B546" s="694"/>
      <c r="C546" s="694"/>
      <c r="D546" s="694"/>
      <c r="E546" s="694"/>
      <c r="F546" s="694"/>
      <c r="G546" s="694"/>
      <c r="H546" s="694"/>
      <c r="I546" s="694"/>
      <c r="J546" s="694"/>
      <c r="K546" s="695"/>
      <c r="L546" s="700"/>
      <c r="M546" s="700"/>
      <c r="N546" s="700"/>
      <c r="O546" s="700"/>
      <c r="P546" s="700"/>
      <c r="Q546" s="700"/>
      <c r="R546" s="700"/>
      <c r="S546" s="700"/>
      <c r="T546" s="700"/>
      <c r="U546" s="700"/>
      <c r="V546" s="697"/>
      <c r="W546" s="698"/>
    </row>
    <row r="547" spans="1:23" ht="22.5" customHeight="1" x14ac:dyDescent="0.25">
      <c r="A547" s="693"/>
      <c r="B547" s="694"/>
      <c r="C547" s="694"/>
      <c r="D547" s="694"/>
      <c r="E547" s="694"/>
      <c r="F547" s="694"/>
      <c r="G547" s="694"/>
      <c r="H547" s="694"/>
      <c r="I547" s="694"/>
      <c r="J547" s="694"/>
      <c r="K547" s="695"/>
      <c r="L547" s="700"/>
      <c r="M547" s="700"/>
      <c r="N547" s="700"/>
      <c r="O547" s="700"/>
      <c r="P547" s="700"/>
      <c r="Q547" s="700"/>
      <c r="R547" s="700"/>
      <c r="S547" s="700"/>
      <c r="T547" s="700"/>
      <c r="U547" s="700"/>
      <c r="V547" s="697"/>
      <c r="W547" s="698"/>
    </row>
    <row r="548" spans="1:23" ht="22.5" customHeight="1" x14ac:dyDescent="0.25">
      <c r="A548" s="693"/>
      <c r="B548" s="694"/>
      <c r="C548" s="694"/>
      <c r="D548" s="694"/>
      <c r="E548" s="694"/>
      <c r="F548" s="694"/>
      <c r="G548" s="694"/>
      <c r="H548" s="694"/>
      <c r="I548" s="694"/>
      <c r="J548" s="694"/>
      <c r="K548" s="695"/>
      <c r="L548" s="700"/>
      <c r="M548" s="700"/>
      <c r="N548" s="700"/>
      <c r="O548" s="700"/>
      <c r="P548" s="700"/>
      <c r="Q548" s="700"/>
      <c r="R548" s="700"/>
      <c r="S548" s="700"/>
      <c r="T548" s="700"/>
      <c r="U548" s="700"/>
      <c r="V548" s="697"/>
      <c r="W548" s="698"/>
    </row>
    <row r="549" spans="1:23" ht="22.5" customHeight="1" x14ac:dyDescent="0.25">
      <c r="A549" s="693"/>
      <c r="B549" s="694"/>
      <c r="C549" s="694"/>
      <c r="D549" s="694"/>
      <c r="E549" s="694"/>
      <c r="F549" s="694"/>
      <c r="G549" s="694"/>
      <c r="H549" s="694"/>
      <c r="I549" s="694"/>
      <c r="J549" s="694"/>
      <c r="K549" s="695"/>
      <c r="L549" s="700"/>
      <c r="M549" s="700"/>
      <c r="N549" s="700"/>
      <c r="O549" s="700"/>
      <c r="P549" s="700"/>
      <c r="Q549" s="700"/>
      <c r="R549" s="700"/>
      <c r="S549" s="700"/>
      <c r="T549" s="700"/>
      <c r="U549" s="700"/>
      <c r="V549" s="697"/>
      <c r="W549" s="698"/>
    </row>
    <row r="550" spans="1:23" ht="22.5" customHeight="1" x14ac:dyDescent="0.25">
      <c r="A550" s="693"/>
      <c r="B550" s="694"/>
      <c r="C550" s="694"/>
      <c r="D550" s="694"/>
      <c r="E550" s="694"/>
      <c r="F550" s="694"/>
      <c r="G550" s="694"/>
      <c r="H550" s="694"/>
      <c r="I550" s="694"/>
      <c r="J550" s="694"/>
      <c r="K550" s="695"/>
      <c r="L550" s="700"/>
      <c r="M550" s="700"/>
      <c r="N550" s="700"/>
      <c r="O550" s="700"/>
      <c r="P550" s="700"/>
      <c r="Q550" s="700"/>
      <c r="R550" s="700"/>
      <c r="S550" s="700"/>
      <c r="T550" s="700"/>
      <c r="U550" s="700"/>
      <c r="V550" s="697"/>
      <c r="W550" s="698"/>
    </row>
    <row r="551" spans="1:23" ht="22.5" customHeight="1" x14ac:dyDescent="0.25">
      <c r="A551" s="693"/>
      <c r="B551" s="694"/>
      <c r="C551" s="694"/>
      <c r="D551" s="694"/>
      <c r="E551" s="694"/>
      <c r="F551" s="694"/>
      <c r="G551" s="694"/>
      <c r="H551" s="694"/>
      <c r="I551" s="694"/>
      <c r="J551" s="694"/>
      <c r="K551" s="695"/>
      <c r="L551" s="700"/>
      <c r="M551" s="700"/>
      <c r="N551" s="700"/>
      <c r="O551" s="700"/>
      <c r="P551" s="700"/>
      <c r="Q551" s="700"/>
      <c r="R551" s="700"/>
      <c r="S551" s="700"/>
      <c r="T551" s="700"/>
      <c r="U551" s="700"/>
      <c r="V551" s="697"/>
      <c r="W551" s="698"/>
    </row>
    <row r="552" spans="1:23" ht="22.5" customHeight="1" x14ac:dyDescent="0.25">
      <c r="A552" s="693"/>
      <c r="B552" s="694"/>
      <c r="C552" s="694"/>
      <c r="D552" s="694"/>
      <c r="E552" s="694"/>
      <c r="F552" s="694"/>
      <c r="G552" s="694"/>
      <c r="H552" s="694"/>
      <c r="I552" s="694"/>
      <c r="J552" s="694"/>
      <c r="K552" s="695"/>
      <c r="L552" s="700"/>
      <c r="M552" s="700"/>
      <c r="N552" s="700"/>
      <c r="O552" s="700"/>
      <c r="P552" s="700"/>
      <c r="Q552" s="700"/>
      <c r="R552" s="700"/>
      <c r="S552" s="700"/>
      <c r="T552" s="700"/>
      <c r="U552" s="700"/>
      <c r="V552" s="697"/>
      <c r="W552" s="698"/>
    </row>
    <row r="553" spans="1:23" ht="22.5" customHeight="1" x14ac:dyDescent="0.25">
      <c r="A553" s="693"/>
      <c r="B553" s="694"/>
      <c r="C553" s="694"/>
      <c r="D553" s="694"/>
      <c r="E553" s="694"/>
      <c r="F553" s="694"/>
      <c r="G553" s="694"/>
      <c r="H553" s="694"/>
      <c r="I553" s="694"/>
      <c r="J553" s="694"/>
      <c r="K553" s="695"/>
      <c r="L553" s="700"/>
      <c r="M553" s="700"/>
      <c r="N553" s="700"/>
      <c r="O553" s="700"/>
      <c r="P553" s="700"/>
      <c r="Q553" s="700"/>
      <c r="R553" s="700"/>
      <c r="S553" s="700"/>
      <c r="T553" s="700"/>
      <c r="U553" s="700"/>
      <c r="V553" s="697"/>
      <c r="W553" s="698"/>
    </row>
    <row r="554" spans="1:23" ht="22.5" customHeight="1" x14ac:dyDescent="0.25">
      <c r="A554" s="693"/>
      <c r="B554" s="694"/>
      <c r="C554" s="694"/>
      <c r="D554" s="694"/>
      <c r="E554" s="694"/>
      <c r="F554" s="694"/>
      <c r="G554" s="694"/>
      <c r="H554" s="694"/>
      <c r="I554" s="694"/>
      <c r="J554" s="694"/>
      <c r="K554" s="695"/>
      <c r="L554" s="700"/>
      <c r="M554" s="700"/>
      <c r="N554" s="700"/>
      <c r="O554" s="700"/>
      <c r="P554" s="700"/>
      <c r="Q554" s="700"/>
      <c r="R554" s="700"/>
      <c r="S554" s="700"/>
      <c r="T554" s="700"/>
      <c r="U554" s="700"/>
      <c r="V554" s="697"/>
      <c r="W554" s="698"/>
    </row>
    <row r="555" spans="1:23" ht="22.5" customHeight="1" x14ac:dyDescent="0.25">
      <c r="A555" s="693"/>
      <c r="B555" s="694"/>
      <c r="C555" s="694"/>
      <c r="D555" s="694"/>
      <c r="E555" s="694"/>
      <c r="F555" s="694"/>
      <c r="G555" s="694"/>
      <c r="H555" s="694"/>
      <c r="I555" s="694"/>
      <c r="J555" s="694"/>
      <c r="K555" s="695"/>
      <c r="L555" s="700"/>
      <c r="M555" s="700"/>
      <c r="N555" s="700"/>
      <c r="O555" s="700"/>
      <c r="P555" s="700"/>
      <c r="Q555" s="700"/>
      <c r="R555" s="700"/>
      <c r="S555" s="700"/>
      <c r="T555" s="700"/>
      <c r="U555" s="700"/>
      <c r="V555" s="697"/>
      <c r="W555" s="698"/>
    </row>
    <row r="556" spans="1:23" ht="22.5" customHeight="1" x14ac:dyDescent="0.25">
      <c r="A556" s="693"/>
      <c r="B556" s="694"/>
      <c r="C556" s="694"/>
      <c r="D556" s="694"/>
      <c r="E556" s="694"/>
      <c r="F556" s="694"/>
      <c r="G556" s="694"/>
      <c r="H556" s="694"/>
      <c r="I556" s="694"/>
      <c r="J556" s="694"/>
      <c r="K556" s="695"/>
      <c r="L556" s="700"/>
      <c r="M556" s="700"/>
      <c r="N556" s="700"/>
      <c r="O556" s="700"/>
      <c r="P556" s="700"/>
      <c r="Q556" s="700"/>
      <c r="R556" s="700"/>
      <c r="S556" s="700"/>
      <c r="T556" s="700"/>
      <c r="U556" s="700"/>
      <c r="V556" s="697"/>
      <c r="W556" s="698"/>
    </row>
    <row r="557" spans="1:23" ht="22.5" customHeight="1" x14ac:dyDescent="0.25">
      <c r="A557" s="693"/>
      <c r="B557" s="694"/>
      <c r="C557" s="694"/>
      <c r="D557" s="694"/>
      <c r="E557" s="694"/>
      <c r="F557" s="694"/>
      <c r="G557" s="694"/>
      <c r="H557" s="694"/>
      <c r="I557" s="694"/>
      <c r="J557" s="694"/>
      <c r="K557" s="695"/>
      <c r="L557" s="700"/>
      <c r="M557" s="700"/>
      <c r="N557" s="700"/>
      <c r="O557" s="700"/>
      <c r="P557" s="700"/>
      <c r="Q557" s="700"/>
      <c r="R557" s="700"/>
      <c r="S557" s="700"/>
      <c r="T557" s="700"/>
      <c r="U557" s="700"/>
      <c r="V557" s="697"/>
      <c r="W557" s="698"/>
    </row>
    <row r="558" spans="1:23" ht="22.5" customHeight="1" x14ac:dyDescent="0.25">
      <c r="A558" s="693"/>
      <c r="B558" s="694"/>
      <c r="C558" s="694"/>
      <c r="D558" s="694"/>
      <c r="E558" s="694"/>
      <c r="F558" s="694"/>
      <c r="G558" s="694"/>
      <c r="H558" s="694"/>
      <c r="I558" s="694"/>
      <c r="J558" s="694"/>
      <c r="K558" s="695"/>
      <c r="L558" s="700"/>
      <c r="M558" s="700"/>
      <c r="N558" s="700"/>
      <c r="O558" s="700"/>
      <c r="P558" s="700"/>
      <c r="Q558" s="700"/>
      <c r="R558" s="700"/>
      <c r="S558" s="700"/>
      <c r="T558" s="700"/>
      <c r="U558" s="700"/>
      <c r="V558" s="697"/>
      <c r="W558" s="698"/>
    </row>
    <row r="559" spans="1:23" ht="22.5" customHeight="1" x14ac:dyDescent="0.25">
      <c r="A559" s="693"/>
      <c r="B559" s="694"/>
      <c r="C559" s="694"/>
      <c r="D559" s="694"/>
      <c r="E559" s="694"/>
      <c r="F559" s="694"/>
      <c r="G559" s="694"/>
      <c r="H559" s="694"/>
      <c r="I559" s="694"/>
      <c r="J559" s="694"/>
      <c r="K559" s="695"/>
      <c r="L559" s="700"/>
      <c r="M559" s="700"/>
      <c r="N559" s="700"/>
      <c r="O559" s="700"/>
      <c r="P559" s="700"/>
      <c r="Q559" s="700"/>
      <c r="R559" s="700"/>
      <c r="S559" s="700"/>
      <c r="T559" s="700"/>
      <c r="U559" s="700"/>
      <c r="V559" s="697"/>
      <c r="W559" s="698"/>
    </row>
    <row r="560" spans="1:23" ht="22.5" customHeight="1" x14ac:dyDescent="0.25">
      <c r="A560" s="693"/>
      <c r="B560" s="694"/>
      <c r="C560" s="694"/>
      <c r="D560" s="694"/>
      <c r="E560" s="694"/>
      <c r="F560" s="694"/>
      <c r="G560" s="694"/>
      <c r="H560" s="694"/>
      <c r="I560" s="694"/>
      <c r="J560" s="694"/>
      <c r="K560" s="695"/>
      <c r="L560" s="700"/>
      <c r="M560" s="700"/>
      <c r="N560" s="700"/>
      <c r="O560" s="700"/>
      <c r="P560" s="700"/>
      <c r="Q560" s="700"/>
      <c r="R560" s="700"/>
      <c r="S560" s="700"/>
      <c r="T560" s="700"/>
      <c r="U560" s="700"/>
      <c r="V560" s="697"/>
      <c r="W560" s="698"/>
    </row>
    <row r="561" spans="1:23" ht="22.5" customHeight="1" x14ac:dyDescent="0.25">
      <c r="A561" s="693"/>
      <c r="B561" s="694"/>
      <c r="C561" s="694"/>
      <c r="D561" s="694"/>
      <c r="E561" s="694"/>
      <c r="F561" s="694"/>
      <c r="G561" s="694"/>
      <c r="H561" s="694"/>
      <c r="I561" s="694"/>
      <c r="J561" s="694"/>
      <c r="K561" s="695"/>
      <c r="L561" s="700"/>
      <c r="M561" s="700"/>
      <c r="N561" s="700"/>
      <c r="O561" s="700"/>
      <c r="P561" s="700"/>
      <c r="Q561" s="700"/>
      <c r="R561" s="700"/>
      <c r="S561" s="700"/>
      <c r="T561" s="700"/>
      <c r="U561" s="700"/>
      <c r="V561" s="697"/>
      <c r="W561" s="698"/>
    </row>
    <row r="562" spans="1:23" ht="22.5" customHeight="1" x14ac:dyDescent="0.25">
      <c r="A562" s="693"/>
      <c r="B562" s="694"/>
      <c r="C562" s="694"/>
      <c r="D562" s="694"/>
      <c r="E562" s="694"/>
      <c r="F562" s="694"/>
      <c r="G562" s="694"/>
      <c r="H562" s="694"/>
      <c r="I562" s="694"/>
      <c r="J562" s="694"/>
      <c r="K562" s="695"/>
      <c r="L562" s="700"/>
      <c r="M562" s="700"/>
      <c r="N562" s="700"/>
      <c r="O562" s="700"/>
      <c r="P562" s="700"/>
      <c r="Q562" s="700"/>
      <c r="R562" s="700"/>
      <c r="S562" s="700"/>
      <c r="T562" s="700"/>
      <c r="U562" s="700"/>
      <c r="V562" s="697"/>
      <c r="W562" s="698"/>
    </row>
    <row r="563" spans="1:23" ht="22.5" customHeight="1" x14ac:dyDescent="0.25">
      <c r="A563" s="693"/>
      <c r="B563" s="694"/>
      <c r="C563" s="694"/>
      <c r="D563" s="694"/>
      <c r="E563" s="694"/>
      <c r="F563" s="694"/>
      <c r="G563" s="694"/>
      <c r="H563" s="694"/>
      <c r="I563" s="694"/>
      <c r="J563" s="694"/>
      <c r="K563" s="695"/>
      <c r="L563" s="700"/>
      <c r="M563" s="700"/>
      <c r="N563" s="700"/>
      <c r="O563" s="700"/>
      <c r="P563" s="700"/>
      <c r="Q563" s="700"/>
      <c r="R563" s="700"/>
      <c r="S563" s="700"/>
      <c r="T563" s="700"/>
      <c r="U563" s="700"/>
      <c r="V563" s="697"/>
      <c r="W563" s="698"/>
    </row>
    <row r="564" spans="1:23" ht="22.5" customHeight="1" x14ac:dyDescent="0.25">
      <c r="A564" s="693"/>
      <c r="B564" s="694"/>
      <c r="C564" s="694"/>
      <c r="D564" s="694"/>
      <c r="E564" s="694"/>
      <c r="F564" s="694"/>
      <c r="G564" s="694"/>
      <c r="H564" s="694"/>
      <c r="I564" s="694"/>
      <c r="J564" s="694"/>
      <c r="K564" s="695"/>
      <c r="L564" s="700"/>
      <c r="M564" s="700"/>
      <c r="N564" s="700"/>
      <c r="O564" s="700"/>
      <c r="P564" s="700"/>
      <c r="Q564" s="700"/>
      <c r="R564" s="700"/>
      <c r="S564" s="700"/>
      <c r="T564" s="700"/>
      <c r="U564" s="700"/>
      <c r="V564" s="697"/>
      <c r="W564" s="698"/>
    </row>
    <row r="565" spans="1:23" ht="22.5" customHeight="1" x14ac:dyDescent="0.25">
      <c r="A565" s="693"/>
      <c r="B565" s="694"/>
      <c r="C565" s="694"/>
      <c r="D565" s="694"/>
      <c r="E565" s="694"/>
      <c r="F565" s="694"/>
      <c r="G565" s="694"/>
      <c r="H565" s="694"/>
      <c r="I565" s="694"/>
      <c r="J565" s="694"/>
      <c r="K565" s="695"/>
      <c r="L565" s="700"/>
      <c r="M565" s="700"/>
      <c r="N565" s="700"/>
      <c r="O565" s="700"/>
      <c r="P565" s="700"/>
      <c r="Q565" s="700"/>
      <c r="R565" s="700"/>
      <c r="S565" s="700"/>
      <c r="T565" s="700"/>
      <c r="U565" s="700"/>
      <c r="V565" s="697"/>
      <c r="W565" s="698"/>
    </row>
    <row r="566" spans="1:23" ht="22.5" customHeight="1" x14ac:dyDescent="0.25">
      <c r="A566" s="693"/>
      <c r="B566" s="694"/>
      <c r="C566" s="694"/>
      <c r="D566" s="694"/>
      <c r="E566" s="694"/>
      <c r="F566" s="694"/>
      <c r="G566" s="694"/>
      <c r="H566" s="694"/>
      <c r="I566" s="694"/>
      <c r="J566" s="694"/>
      <c r="K566" s="695"/>
      <c r="L566" s="700"/>
      <c r="M566" s="700"/>
      <c r="N566" s="700"/>
      <c r="O566" s="700"/>
      <c r="P566" s="700"/>
      <c r="Q566" s="700"/>
      <c r="R566" s="700"/>
      <c r="S566" s="700"/>
      <c r="T566" s="700"/>
      <c r="U566" s="700"/>
      <c r="V566" s="697"/>
      <c r="W566" s="698"/>
    </row>
    <row r="567" spans="1:23" ht="22.5" customHeight="1" x14ac:dyDescent="0.25">
      <c r="A567" s="693"/>
      <c r="B567" s="694"/>
      <c r="C567" s="694"/>
      <c r="D567" s="694"/>
      <c r="E567" s="694"/>
      <c r="F567" s="694"/>
      <c r="G567" s="694"/>
      <c r="H567" s="694"/>
      <c r="I567" s="694"/>
      <c r="J567" s="694"/>
      <c r="K567" s="695"/>
      <c r="L567" s="700"/>
      <c r="M567" s="700"/>
      <c r="N567" s="700"/>
      <c r="O567" s="700"/>
      <c r="P567" s="700"/>
      <c r="Q567" s="700"/>
      <c r="R567" s="700"/>
      <c r="S567" s="700"/>
      <c r="T567" s="700"/>
      <c r="U567" s="700"/>
      <c r="V567" s="697"/>
      <c r="W567" s="698"/>
    </row>
    <row r="568" spans="1:23" ht="22.5" customHeight="1" x14ac:dyDescent="0.25">
      <c r="A568" s="693"/>
      <c r="B568" s="694"/>
      <c r="C568" s="694"/>
      <c r="D568" s="694"/>
      <c r="E568" s="694"/>
      <c r="F568" s="694"/>
      <c r="G568" s="694"/>
      <c r="H568" s="694"/>
      <c r="I568" s="694"/>
      <c r="J568" s="694"/>
      <c r="K568" s="695"/>
      <c r="L568" s="700"/>
      <c r="M568" s="700"/>
      <c r="N568" s="700"/>
      <c r="O568" s="700"/>
      <c r="P568" s="700"/>
      <c r="Q568" s="700"/>
      <c r="R568" s="700"/>
      <c r="S568" s="700"/>
      <c r="T568" s="700"/>
      <c r="U568" s="700"/>
      <c r="V568" s="697"/>
      <c r="W568" s="698"/>
    </row>
    <row r="569" spans="1:23" ht="22.5" customHeight="1" x14ac:dyDescent="0.25">
      <c r="A569" s="693"/>
      <c r="B569" s="694"/>
      <c r="C569" s="694"/>
      <c r="D569" s="694"/>
      <c r="E569" s="694"/>
      <c r="F569" s="694"/>
      <c r="G569" s="694"/>
      <c r="H569" s="694"/>
      <c r="I569" s="694"/>
      <c r="J569" s="694"/>
      <c r="K569" s="695"/>
      <c r="L569" s="700"/>
      <c r="M569" s="700"/>
      <c r="N569" s="700"/>
      <c r="O569" s="700"/>
      <c r="P569" s="700"/>
      <c r="Q569" s="700"/>
      <c r="R569" s="700"/>
      <c r="S569" s="700"/>
      <c r="T569" s="700"/>
      <c r="U569" s="700"/>
      <c r="V569" s="697"/>
      <c r="W569" s="698"/>
    </row>
    <row r="570" spans="1:23" ht="22.5" customHeight="1" x14ac:dyDescent="0.25">
      <c r="A570" s="693"/>
      <c r="B570" s="694"/>
      <c r="C570" s="694"/>
      <c r="D570" s="694"/>
      <c r="E570" s="694"/>
      <c r="F570" s="694"/>
      <c r="G570" s="694"/>
      <c r="H570" s="694"/>
      <c r="I570" s="694"/>
      <c r="J570" s="694"/>
      <c r="K570" s="695"/>
      <c r="L570" s="700"/>
      <c r="M570" s="700"/>
      <c r="N570" s="700"/>
      <c r="O570" s="700"/>
      <c r="P570" s="700"/>
      <c r="Q570" s="700"/>
      <c r="R570" s="700"/>
      <c r="S570" s="700"/>
      <c r="T570" s="700"/>
      <c r="U570" s="700"/>
      <c r="V570" s="697"/>
      <c r="W570" s="698"/>
    </row>
    <row r="571" spans="1:23" ht="22.5" customHeight="1" x14ac:dyDescent="0.25">
      <c r="A571" s="693"/>
      <c r="B571" s="694"/>
      <c r="C571" s="694"/>
      <c r="D571" s="694"/>
      <c r="E571" s="694"/>
      <c r="F571" s="694"/>
      <c r="G571" s="694"/>
      <c r="H571" s="694"/>
      <c r="I571" s="694"/>
      <c r="J571" s="694"/>
      <c r="K571" s="695"/>
      <c r="L571" s="700"/>
      <c r="M571" s="700"/>
      <c r="N571" s="700"/>
      <c r="O571" s="700"/>
      <c r="P571" s="700"/>
      <c r="Q571" s="700"/>
      <c r="R571" s="700"/>
      <c r="S571" s="700"/>
      <c r="T571" s="700"/>
      <c r="U571" s="700"/>
      <c r="V571" s="697"/>
      <c r="W571" s="698"/>
    </row>
    <row r="572" spans="1:23" ht="22.5" customHeight="1" x14ac:dyDescent="0.25">
      <c r="A572" s="693"/>
      <c r="B572" s="694"/>
      <c r="C572" s="694"/>
      <c r="D572" s="694"/>
      <c r="E572" s="694"/>
      <c r="F572" s="694"/>
      <c r="G572" s="694"/>
      <c r="H572" s="694"/>
      <c r="I572" s="694"/>
      <c r="J572" s="694"/>
      <c r="K572" s="695"/>
      <c r="L572" s="700"/>
      <c r="M572" s="700"/>
      <c r="N572" s="700"/>
      <c r="O572" s="700"/>
      <c r="P572" s="700"/>
      <c r="Q572" s="700"/>
      <c r="R572" s="700"/>
      <c r="S572" s="700"/>
      <c r="T572" s="700"/>
      <c r="U572" s="700"/>
      <c r="V572" s="697"/>
      <c r="W572" s="698"/>
    </row>
    <row r="573" spans="1:23" ht="22.5" customHeight="1" x14ac:dyDescent="0.25">
      <c r="A573" s="693"/>
      <c r="B573" s="694"/>
      <c r="C573" s="694"/>
      <c r="D573" s="694"/>
      <c r="E573" s="694"/>
      <c r="F573" s="694"/>
      <c r="G573" s="694"/>
      <c r="H573" s="694"/>
      <c r="I573" s="694"/>
      <c r="J573" s="694"/>
      <c r="K573" s="695"/>
      <c r="L573" s="700"/>
      <c r="M573" s="700"/>
      <c r="N573" s="700"/>
      <c r="O573" s="700"/>
      <c r="P573" s="700"/>
      <c r="Q573" s="700"/>
      <c r="R573" s="700"/>
      <c r="S573" s="700"/>
      <c r="T573" s="700"/>
      <c r="U573" s="700"/>
      <c r="V573" s="697"/>
      <c r="W573" s="698"/>
    </row>
    <row r="574" spans="1:23" ht="22.5" customHeight="1" x14ac:dyDescent="0.25">
      <c r="A574" s="693"/>
      <c r="B574" s="694"/>
      <c r="C574" s="694"/>
      <c r="D574" s="694"/>
      <c r="E574" s="694"/>
      <c r="F574" s="694"/>
      <c r="G574" s="694"/>
      <c r="H574" s="694"/>
      <c r="I574" s="694"/>
      <c r="J574" s="694"/>
      <c r="K574" s="695"/>
      <c r="L574" s="700"/>
      <c r="M574" s="700"/>
      <c r="N574" s="700"/>
      <c r="O574" s="700"/>
      <c r="P574" s="700"/>
      <c r="Q574" s="700"/>
      <c r="R574" s="700"/>
      <c r="S574" s="700"/>
      <c r="T574" s="700"/>
      <c r="U574" s="700"/>
      <c r="V574" s="697"/>
      <c r="W574" s="698"/>
    </row>
    <row r="575" spans="1:23" ht="22.5" customHeight="1" x14ac:dyDescent="0.25">
      <c r="A575" s="693"/>
      <c r="B575" s="694"/>
      <c r="C575" s="694"/>
      <c r="D575" s="694"/>
      <c r="E575" s="694"/>
      <c r="F575" s="694"/>
      <c r="G575" s="694"/>
      <c r="H575" s="694"/>
      <c r="I575" s="694"/>
      <c r="J575" s="694"/>
      <c r="K575" s="695"/>
      <c r="L575" s="700"/>
      <c r="M575" s="700"/>
      <c r="N575" s="700"/>
      <c r="O575" s="700"/>
      <c r="P575" s="700"/>
      <c r="Q575" s="700"/>
      <c r="R575" s="700"/>
      <c r="S575" s="700"/>
      <c r="T575" s="700"/>
      <c r="U575" s="700"/>
      <c r="V575" s="697"/>
      <c r="W575" s="698"/>
    </row>
    <row r="576" spans="1:23" ht="22.5" customHeight="1" x14ac:dyDescent="0.25">
      <c r="A576" s="693"/>
      <c r="B576" s="694"/>
      <c r="C576" s="694"/>
      <c r="D576" s="694"/>
      <c r="E576" s="694"/>
      <c r="F576" s="694"/>
      <c r="G576" s="694"/>
      <c r="H576" s="694"/>
      <c r="I576" s="694"/>
      <c r="J576" s="694"/>
      <c r="K576" s="695"/>
      <c r="L576" s="700"/>
      <c r="M576" s="700"/>
      <c r="N576" s="700"/>
      <c r="O576" s="700"/>
      <c r="P576" s="700"/>
      <c r="Q576" s="700"/>
      <c r="R576" s="700"/>
      <c r="S576" s="700"/>
      <c r="T576" s="700"/>
      <c r="U576" s="700"/>
      <c r="V576" s="697"/>
      <c r="W576" s="698"/>
    </row>
    <row r="577" spans="1:23" ht="22.5" customHeight="1" x14ac:dyDescent="0.25">
      <c r="A577" s="693"/>
      <c r="B577" s="694"/>
      <c r="C577" s="694"/>
      <c r="D577" s="694"/>
      <c r="E577" s="694"/>
      <c r="F577" s="694"/>
      <c r="G577" s="694"/>
      <c r="H577" s="694"/>
      <c r="I577" s="694"/>
      <c r="J577" s="694"/>
      <c r="K577" s="695"/>
      <c r="L577" s="700"/>
      <c r="M577" s="700"/>
      <c r="N577" s="700"/>
      <c r="O577" s="700"/>
      <c r="P577" s="700"/>
      <c r="Q577" s="700"/>
      <c r="R577" s="700"/>
      <c r="S577" s="700"/>
      <c r="T577" s="700"/>
      <c r="U577" s="700"/>
      <c r="V577" s="697"/>
      <c r="W577" s="698"/>
    </row>
    <row r="578" spans="1:23" ht="22.5" customHeight="1" x14ac:dyDescent="0.25">
      <c r="A578" s="693"/>
      <c r="B578" s="694"/>
      <c r="C578" s="694"/>
      <c r="D578" s="694"/>
      <c r="E578" s="694"/>
      <c r="F578" s="694"/>
      <c r="G578" s="694"/>
      <c r="H578" s="694"/>
      <c r="I578" s="694"/>
      <c r="J578" s="694"/>
      <c r="K578" s="695"/>
      <c r="L578" s="700"/>
      <c r="M578" s="700"/>
      <c r="N578" s="700"/>
      <c r="O578" s="700"/>
      <c r="P578" s="700"/>
      <c r="Q578" s="700"/>
      <c r="R578" s="700"/>
      <c r="S578" s="700"/>
      <c r="T578" s="700"/>
      <c r="U578" s="700"/>
      <c r="V578" s="697"/>
      <c r="W578" s="698"/>
    </row>
    <row r="579" spans="1:23" ht="22.5" customHeight="1" x14ac:dyDescent="0.25">
      <c r="A579" s="693"/>
      <c r="B579" s="694"/>
      <c r="C579" s="694"/>
      <c r="D579" s="694"/>
      <c r="E579" s="694"/>
      <c r="F579" s="694"/>
      <c r="G579" s="694"/>
      <c r="H579" s="694"/>
      <c r="I579" s="694"/>
      <c r="J579" s="694"/>
      <c r="K579" s="695"/>
      <c r="L579" s="700"/>
      <c r="M579" s="700"/>
      <c r="N579" s="700"/>
      <c r="O579" s="700"/>
      <c r="P579" s="700"/>
      <c r="Q579" s="700"/>
      <c r="R579" s="700"/>
      <c r="S579" s="700"/>
      <c r="T579" s="700"/>
      <c r="U579" s="700"/>
      <c r="V579" s="697"/>
      <c r="W579" s="698"/>
    </row>
    <row r="580" spans="1:23" ht="22.5" customHeight="1" x14ac:dyDescent="0.25">
      <c r="A580" s="693"/>
      <c r="B580" s="694"/>
      <c r="C580" s="694"/>
      <c r="D580" s="694"/>
      <c r="E580" s="694"/>
      <c r="F580" s="694"/>
      <c r="G580" s="694"/>
      <c r="H580" s="694"/>
      <c r="I580" s="694"/>
      <c r="J580" s="694"/>
      <c r="K580" s="695"/>
      <c r="L580" s="700"/>
      <c r="M580" s="700"/>
      <c r="N580" s="700"/>
      <c r="O580" s="700"/>
      <c r="P580" s="700"/>
      <c r="Q580" s="700"/>
      <c r="R580" s="700"/>
      <c r="S580" s="700"/>
      <c r="T580" s="700"/>
      <c r="U580" s="700"/>
      <c r="V580" s="697"/>
      <c r="W580" s="698"/>
    </row>
    <row r="581" spans="1:23" ht="22.5" customHeight="1" x14ac:dyDescent="0.25">
      <c r="A581" s="693"/>
      <c r="B581" s="694"/>
      <c r="C581" s="694"/>
      <c r="D581" s="694"/>
      <c r="E581" s="694"/>
      <c r="F581" s="694"/>
      <c r="G581" s="694"/>
      <c r="H581" s="694"/>
      <c r="I581" s="694"/>
      <c r="J581" s="694"/>
      <c r="K581" s="695"/>
      <c r="L581" s="700"/>
      <c r="M581" s="700"/>
      <c r="N581" s="700"/>
      <c r="O581" s="700"/>
      <c r="P581" s="700"/>
      <c r="Q581" s="700"/>
      <c r="R581" s="700"/>
      <c r="S581" s="700"/>
      <c r="T581" s="700"/>
      <c r="U581" s="700"/>
      <c r="V581" s="697"/>
      <c r="W581" s="698"/>
    </row>
    <row r="582" spans="1:23" ht="22.5" customHeight="1" x14ac:dyDescent="0.25">
      <c r="A582" s="693"/>
      <c r="B582" s="694"/>
      <c r="C582" s="694"/>
      <c r="D582" s="694"/>
      <c r="E582" s="694"/>
      <c r="F582" s="694"/>
      <c r="G582" s="694"/>
      <c r="H582" s="694"/>
      <c r="I582" s="694"/>
      <c r="J582" s="694"/>
      <c r="K582" s="695"/>
      <c r="L582" s="700"/>
      <c r="M582" s="700"/>
      <c r="N582" s="700"/>
      <c r="O582" s="700"/>
      <c r="P582" s="700"/>
      <c r="Q582" s="700"/>
      <c r="R582" s="700"/>
      <c r="S582" s="700"/>
      <c r="T582" s="700"/>
      <c r="U582" s="700"/>
      <c r="V582" s="697"/>
      <c r="W582" s="698"/>
    </row>
    <row r="583" spans="1:23" ht="22.5" customHeight="1" x14ac:dyDescent="0.25">
      <c r="A583" s="693"/>
      <c r="B583" s="694"/>
      <c r="C583" s="694"/>
      <c r="D583" s="694"/>
      <c r="E583" s="694"/>
      <c r="F583" s="694"/>
      <c r="G583" s="694"/>
      <c r="H583" s="694"/>
      <c r="I583" s="694"/>
      <c r="J583" s="694"/>
      <c r="K583" s="695"/>
      <c r="L583" s="700"/>
      <c r="M583" s="700"/>
      <c r="N583" s="700"/>
      <c r="O583" s="700"/>
      <c r="P583" s="700"/>
      <c r="Q583" s="700"/>
      <c r="R583" s="700"/>
      <c r="S583" s="700"/>
      <c r="T583" s="700"/>
      <c r="U583" s="700"/>
      <c r="V583" s="697"/>
      <c r="W583" s="698"/>
    </row>
    <row r="584" spans="1:23" ht="22.5" customHeight="1" x14ac:dyDescent="0.25">
      <c r="A584" s="693"/>
      <c r="B584" s="694"/>
      <c r="C584" s="694"/>
      <c r="D584" s="694"/>
      <c r="E584" s="694"/>
      <c r="F584" s="694"/>
      <c r="G584" s="694"/>
      <c r="H584" s="694"/>
      <c r="I584" s="694"/>
      <c r="J584" s="694"/>
      <c r="K584" s="695"/>
      <c r="L584" s="700"/>
      <c r="M584" s="700"/>
      <c r="N584" s="700"/>
      <c r="O584" s="700"/>
      <c r="P584" s="700"/>
      <c r="Q584" s="700"/>
      <c r="R584" s="700"/>
      <c r="S584" s="700"/>
      <c r="T584" s="700"/>
      <c r="U584" s="700"/>
      <c r="V584" s="697"/>
      <c r="W584" s="698"/>
    </row>
    <row r="585" spans="1:23" ht="22.5" customHeight="1" x14ac:dyDescent="0.25">
      <c r="A585" s="693"/>
      <c r="B585" s="694"/>
      <c r="C585" s="694"/>
      <c r="D585" s="694"/>
      <c r="E585" s="694"/>
      <c r="F585" s="694"/>
      <c r="G585" s="694"/>
      <c r="H585" s="694"/>
      <c r="I585" s="694"/>
      <c r="J585" s="694"/>
      <c r="K585" s="695"/>
      <c r="L585" s="700"/>
      <c r="M585" s="700"/>
      <c r="N585" s="700"/>
      <c r="O585" s="700"/>
      <c r="P585" s="700"/>
      <c r="Q585" s="700"/>
      <c r="R585" s="700"/>
      <c r="S585" s="700"/>
      <c r="T585" s="700"/>
      <c r="U585" s="700"/>
      <c r="V585" s="697"/>
      <c r="W585" s="698"/>
    </row>
    <row r="586" spans="1:23" ht="22.5" customHeight="1" x14ac:dyDescent="0.25">
      <c r="A586" s="693"/>
      <c r="B586" s="694"/>
      <c r="C586" s="694"/>
      <c r="D586" s="694"/>
      <c r="E586" s="694"/>
      <c r="F586" s="694"/>
      <c r="G586" s="694"/>
      <c r="H586" s="694"/>
      <c r="I586" s="694"/>
      <c r="J586" s="694"/>
      <c r="K586" s="695"/>
      <c r="L586" s="700"/>
      <c r="M586" s="700"/>
      <c r="N586" s="700"/>
      <c r="O586" s="700"/>
      <c r="P586" s="700"/>
      <c r="Q586" s="700"/>
      <c r="R586" s="700"/>
      <c r="S586" s="700"/>
      <c r="T586" s="700"/>
      <c r="U586" s="700"/>
      <c r="V586" s="697"/>
      <c r="W586" s="698"/>
    </row>
    <row r="587" spans="1:23" ht="22.5" customHeight="1" x14ac:dyDescent="0.25">
      <c r="A587" s="693"/>
      <c r="B587" s="694"/>
      <c r="C587" s="694"/>
      <c r="D587" s="694"/>
      <c r="E587" s="694"/>
      <c r="F587" s="694"/>
      <c r="G587" s="694"/>
      <c r="H587" s="694"/>
      <c r="I587" s="694"/>
      <c r="J587" s="694"/>
      <c r="K587" s="695"/>
      <c r="L587" s="700"/>
      <c r="M587" s="700"/>
      <c r="N587" s="700"/>
      <c r="O587" s="700"/>
      <c r="P587" s="700"/>
      <c r="Q587" s="700"/>
      <c r="R587" s="700"/>
      <c r="S587" s="700"/>
      <c r="T587" s="700"/>
      <c r="U587" s="700"/>
      <c r="V587" s="697"/>
      <c r="W587" s="698"/>
    </row>
    <row r="588" spans="1:23" ht="22.5" customHeight="1" x14ac:dyDescent="0.25">
      <c r="A588" s="693"/>
      <c r="B588" s="694"/>
      <c r="C588" s="694"/>
      <c r="D588" s="694"/>
      <c r="E588" s="694"/>
      <c r="F588" s="694"/>
      <c r="G588" s="694"/>
      <c r="H588" s="694"/>
      <c r="I588" s="694"/>
      <c r="J588" s="694"/>
      <c r="K588" s="695"/>
      <c r="L588" s="700"/>
      <c r="M588" s="700"/>
      <c r="N588" s="700"/>
      <c r="O588" s="700"/>
      <c r="P588" s="700"/>
      <c r="Q588" s="700"/>
      <c r="R588" s="700"/>
      <c r="S588" s="700"/>
      <c r="T588" s="700"/>
      <c r="U588" s="700"/>
      <c r="V588" s="697"/>
      <c r="W588" s="698"/>
    </row>
    <row r="589" spans="1:23" ht="22.5" customHeight="1" x14ac:dyDescent="0.25">
      <c r="A589" s="693"/>
      <c r="B589" s="694"/>
      <c r="C589" s="694"/>
      <c r="D589" s="694"/>
      <c r="E589" s="694"/>
      <c r="F589" s="694"/>
      <c r="G589" s="694"/>
      <c r="H589" s="694"/>
      <c r="I589" s="694"/>
      <c r="J589" s="694"/>
      <c r="K589" s="695"/>
      <c r="L589" s="700"/>
      <c r="M589" s="700"/>
      <c r="N589" s="700"/>
      <c r="O589" s="700"/>
      <c r="P589" s="700"/>
      <c r="Q589" s="700"/>
      <c r="R589" s="700"/>
      <c r="S589" s="700"/>
      <c r="T589" s="700"/>
      <c r="U589" s="700"/>
      <c r="V589" s="697"/>
      <c r="W589" s="698"/>
    </row>
    <row r="590" spans="1:23" ht="22.5" customHeight="1" x14ac:dyDescent="0.25">
      <c r="A590" s="693"/>
      <c r="B590" s="694"/>
      <c r="C590" s="694"/>
      <c r="D590" s="694"/>
      <c r="E590" s="694"/>
      <c r="F590" s="694"/>
      <c r="G590" s="694"/>
      <c r="H590" s="694"/>
      <c r="I590" s="694"/>
      <c r="J590" s="694"/>
      <c r="K590" s="695"/>
      <c r="L590" s="700"/>
      <c r="M590" s="700"/>
      <c r="N590" s="700"/>
      <c r="O590" s="700"/>
      <c r="P590" s="700"/>
      <c r="Q590" s="700"/>
      <c r="R590" s="700"/>
      <c r="S590" s="700"/>
      <c r="T590" s="700"/>
      <c r="U590" s="700"/>
      <c r="V590" s="697"/>
      <c r="W590" s="698"/>
    </row>
    <row r="591" spans="1:23" ht="22.5" customHeight="1" x14ac:dyDescent="0.25">
      <c r="A591" s="693"/>
      <c r="B591" s="694"/>
      <c r="C591" s="694"/>
      <c r="D591" s="694"/>
      <c r="E591" s="694"/>
      <c r="F591" s="694"/>
      <c r="G591" s="694"/>
      <c r="H591" s="694"/>
      <c r="I591" s="694"/>
      <c r="J591" s="694"/>
      <c r="K591" s="695"/>
      <c r="L591" s="700"/>
      <c r="M591" s="700"/>
      <c r="N591" s="700"/>
      <c r="O591" s="700"/>
      <c r="P591" s="700"/>
      <c r="Q591" s="700"/>
      <c r="R591" s="700"/>
      <c r="S591" s="700"/>
      <c r="T591" s="700"/>
      <c r="U591" s="700"/>
      <c r="V591" s="697"/>
      <c r="W591" s="698"/>
    </row>
    <row r="592" spans="1:23" ht="22.5" customHeight="1" x14ac:dyDescent="0.25">
      <c r="A592" s="693"/>
      <c r="B592" s="694"/>
      <c r="C592" s="694"/>
      <c r="D592" s="694"/>
      <c r="E592" s="694"/>
      <c r="F592" s="694"/>
      <c r="G592" s="694"/>
      <c r="H592" s="694"/>
      <c r="I592" s="694"/>
      <c r="J592" s="694"/>
      <c r="K592" s="695"/>
      <c r="L592" s="700"/>
      <c r="M592" s="700"/>
      <c r="N592" s="700"/>
      <c r="O592" s="700"/>
      <c r="P592" s="700"/>
      <c r="Q592" s="700"/>
      <c r="R592" s="700"/>
      <c r="S592" s="700"/>
      <c r="T592" s="700"/>
      <c r="U592" s="700"/>
      <c r="V592" s="697"/>
      <c r="W592" s="698"/>
    </row>
    <row r="593" spans="1:23" ht="22.5" customHeight="1" x14ac:dyDescent="0.25">
      <c r="A593" s="693"/>
      <c r="B593" s="694"/>
      <c r="C593" s="694"/>
      <c r="D593" s="694"/>
      <c r="E593" s="694"/>
      <c r="F593" s="694"/>
      <c r="G593" s="694"/>
      <c r="H593" s="694"/>
      <c r="I593" s="694"/>
      <c r="J593" s="694"/>
      <c r="K593" s="695"/>
      <c r="L593" s="700"/>
      <c r="M593" s="700"/>
      <c r="N593" s="700"/>
      <c r="O593" s="700"/>
      <c r="P593" s="700"/>
      <c r="Q593" s="700"/>
      <c r="R593" s="700"/>
      <c r="S593" s="700"/>
      <c r="T593" s="700"/>
      <c r="U593" s="700"/>
      <c r="V593" s="697"/>
      <c r="W593" s="698"/>
    </row>
    <row r="594" spans="1:23" ht="22.5" customHeight="1" x14ac:dyDescent="0.25">
      <c r="A594" s="693"/>
      <c r="B594" s="694"/>
      <c r="C594" s="694"/>
      <c r="D594" s="694"/>
      <c r="E594" s="694"/>
      <c r="F594" s="694"/>
      <c r="G594" s="694"/>
      <c r="H594" s="694"/>
      <c r="I594" s="694"/>
      <c r="J594" s="694"/>
      <c r="K594" s="695"/>
      <c r="L594" s="700"/>
      <c r="M594" s="700"/>
      <c r="N594" s="700"/>
      <c r="O594" s="700"/>
      <c r="P594" s="700"/>
      <c r="Q594" s="700"/>
      <c r="R594" s="700"/>
      <c r="S594" s="700"/>
      <c r="T594" s="700"/>
      <c r="U594" s="700"/>
      <c r="V594" s="697"/>
      <c r="W594" s="698"/>
    </row>
    <row r="595" spans="1:23" ht="22.5" customHeight="1" x14ac:dyDescent="0.25">
      <c r="A595" s="693"/>
      <c r="B595" s="694"/>
      <c r="C595" s="694"/>
      <c r="D595" s="694"/>
      <c r="E595" s="694"/>
      <c r="F595" s="694"/>
      <c r="G595" s="694"/>
      <c r="H595" s="694"/>
      <c r="I595" s="694"/>
      <c r="J595" s="694"/>
      <c r="K595" s="695"/>
      <c r="L595" s="700"/>
      <c r="M595" s="700"/>
      <c r="N595" s="700"/>
      <c r="O595" s="700"/>
      <c r="P595" s="700"/>
      <c r="Q595" s="700"/>
      <c r="R595" s="700"/>
      <c r="S595" s="700"/>
      <c r="T595" s="700"/>
      <c r="U595" s="700"/>
      <c r="V595" s="697"/>
      <c r="W595" s="698"/>
    </row>
    <row r="596" spans="1:23" ht="22.5" customHeight="1" x14ac:dyDescent="0.25">
      <c r="A596" s="693"/>
      <c r="B596" s="694"/>
      <c r="C596" s="694"/>
      <c r="D596" s="694"/>
      <c r="E596" s="694"/>
      <c r="F596" s="694"/>
      <c r="G596" s="694"/>
      <c r="H596" s="694"/>
      <c r="I596" s="694"/>
      <c r="J596" s="694"/>
      <c r="K596" s="695"/>
      <c r="L596" s="700"/>
      <c r="M596" s="700"/>
      <c r="N596" s="700"/>
      <c r="O596" s="700"/>
      <c r="P596" s="700"/>
      <c r="Q596" s="700"/>
      <c r="R596" s="700"/>
      <c r="S596" s="700"/>
      <c r="T596" s="700"/>
      <c r="U596" s="700"/>
      <c r="V596" s="697"/>
      <c r="W596" s="698"/>
    </row>
    <row r="597" spans="1:23" ht="22.5" customHeight="1" x14ac:dyDescent="0.25">
      <c r="A597" s="693"/>
      <c r="B597" s="694"/>
      <c r="C597" s="694"/>
      <c r="D597" s="694"/>
      <c r="E597" s="694"/>
      <c r="F597" s="694"/>
      <c r="G597" s="694"/>
      <c r="H597" s="694"/>
      <c r="I597" s="694"/>
      <c r="J597" s="694"/>
      <c r="K597" s="695"/>
      <c r="L597" s="700"/>
      <c r="M597" s="700"/>
      <c r="N597" s="700"/>
      <c r="O597" s="700"/>
      <c r="P597" s="700"/>
      <c r="Q597" s="700"/>
      <c r="R597" s="700"/>
      <c r="S597" s="700"/>
      <c r="T597" s="700"/>
      <c r="U597" s="700"/>
      <c r="V597" s="697"/>
      <c r="W597" s="698"/>
    </row>
    <row r="598" spans="1:23" ht="22.5" customHeight="1" x14ac:dyDescent="0.25">
      <c r="A598" s="693"/>
      <c r="B598" s="694"/>
      <c r="C598" s="694"/>
      <c r="D598" s="694"/>
      <c r="E598" s="694"/>
      <c r="F598" s="694"/>
      <c r="G598" s="694"/>
      <c r="H598" s="694"/>
      <c r="I598" s="694"/>
      <c r="J598" s="694"/>
      <c r="K598" s="695"/>
      <c r="L598" s="700"/>
      <c r="M598" s="700"/>
      <c r="N598" s="700"/>
      <c r="O598" s="700"/>
      <c r="P598" s="700"/>
      <c r="Q598" s="700"/>
      <c r="R598" s="700"/>
      <c r="S598" s="700"/>
      <c r="T598" s="700"/>
      <c r="U598" s="700"/>
      <c r="V598" s="697"/>
      <c r="W598" s="698"/>
    </row>
    <row r="599" spans="1:23" ht="22.5" customHeight="1" x14ac:dyDescent="0.25">
      <c r="A599" s="693"/>
      <c r="B599" s="694"/>
      <c r="C599" s="694"/>
      <c r="D599" s="694"/>
      <c r="E599" s="694"/>
      <c r="F599" s="694"/>
      <c r="G599" s="694"/>
      <c r="H599" s="694"/>
      <c r="I599" s="694"/>
      <c r="J599" s="694"/>
      <c r="K599" s="695"/>
      <c r="L599" s="700"/>
      <c r="M599" s="700"/>
      <c r="N599" s="700"/>
      <c r="O599" s="700"/>
      <c r="P599" s="700"/>
      <c r="Q599" s="700"/>
      <c r="R599" s="700"/>
      <c r="S599" s="700"/>
      <c r="T599" s="700"/>
      <c r="U599" s="700"/>
      <c r="V599" s="697"/>
      <c r="W599" s="698"/>
    </row>
    <row r="600" spans="1:23" ht="22.5" customHeight="1" x14ac:dyDescent="0.25">
      <c r="A600" s="693"/>
      <c r="B600" s="694"/>
      <c r="C600" s="694"/>
      <c r="D600" s="694"/>
      <c r="E600" s="694"/>
      <c r="F600" s="694"/>
      <c r="G600" s="694"/>
      <c r="H600" s="694"/>
      <c r="I600" s="694"/>
      <c r="J600" s="694"/>
      <c r="K600" s="695"/>
      <c r="L600" s="700"/>
      <c r="M600" s="700"/>
      <c r="N600" s="700"/>
      <c r="O600" s="700"/>
      <c r="P600" s="700"/>
      <c r="Q600" s="700"/>
      <c r="R600" s="700"/>
      <c r="S600" s="700"/>
      <c r="T600" s="700"/>
      <c r="U600" s="700"/>
      <c r="V600" s="697"/>
      <c r="W600" s="698"/>
    </row>
    <row r="601" spans="1:23" ht="22.5" customHeight="1" x14ac:dyDescent="0.25">
      <c r="A601" s="693"/>
      <c r="B601" s="694"/>
      <c r="C601" s="694"/>
      <c r="D601" s="694"/>
      <c r="E601" s="694"/>
      <c r="F601" s="694"/>
      <c r="G601" s="694"/>
      <c r="H601" s="694"/>
      <c r="I601" s="694"/>
      <c r="J601" s="694"/>
      <c r="K601" s="695"/>
      <c r="L601" s="700"/>
      <c r="M601" s="700"/>
      <c r="N601" s="700"/>
      <c r="O601" s="700"/>
      <c r="P601" s="700"/>
      <c r="Q601" s="700"/>
      <c r="R601" s="700"/>
      <c r="S601" s="700"/>
      <c r="T601" s="700"/>
      <c r="U601" s="700"/>
      <c r="V601" s="697"/>
      <c r="W601" s="698"/>
    </row>
    <row r="602" spans="1:23" ht="22.5" customHeight="1" x14ac:dyDescent="0.25">
      <c r="A602" s="693"/>
      <c r="B602" s="694"/>
      <c r="C602" s="694"/>
      <c r="D602" s="694"/>
      <c r="E602" s="694"/>
      <c r="F602" s="694"/>
      <c r="G602" s="694"/>
      <c r="H602" s="694"/>
      <c r="I602" s="694"/>
      <c r="J602" s="694"/>
      <c r="K602" s="695"/>
      <c r="L602" s="700"/>
      <c r="M602" s="700"/>
      <c r="N602" s="700"/>
      <c r="O602" s="700"/>
      <c r="P602" s="700"/>
      <c r="Q602" s="700"/>
      <c r="R602" s="700"/>
      <c r="S602" s="700"/>
      <c r="T602" s="700"/>
      <c r="U602" s="700"/>
      <c r="V602" s="697"/>
      <c r="W602" s="698"/>
    </row>
    <row r="603" spans="1:23" ht="22.5" customHeight="1" x14ac:dyDescent="0.25">
      <c r="A603" s="693"/>
      <c r="B603" s="694"/>
      <c r="C603" s="694"/>
      <c r="D603" s="694"/>
      <c r="E603" s="694"/>
      <c r="F603" s="694"/>
      <c r="G603" s="694"/>
      <c r="H603" s="694"/>
      <c r="I603" s="694"/>
      <c r="J603" s="694"/>
      <c r="K603" s="695"/>
      <c r="L603" s="700"/>
      <c r="M603" s="700"/>
      <c r="N603" s="700"/>
      <c r="O603" s="700"/>
      <c r="P603" s="700"/>
      <c r="Q603" s="700"/>
      <c r="R603" s="700"/>
      <c r="S603" s="700"/>
      <c r="T603" s="700"/>
      <c r="U603" s="700"/>
      <c r="V603" s="697"/>
      <c r="W603" s="698"/>
    </row>
    <row r="604" spans="1:23" ht="22.5" customHeight="1" x14ac:dyDescent="0.25">
      <c r="A604" s="693"/>
      <c r="B604" s="694"/>
      <c r="C604" s="694"/>
      <c r="D604" s="694"/>
      <c r="E604" s="694"/>
      <c r="F604" s="694"/>
      <c r="G604" s="694"/>
      <c r="H604" s="694"/>
      <c r="I604" s="694"/>
      <c r="J604" s="694"/>
      <c r="K604" s="695"/>
      <c r="L604" s="700"/>
      <c r="M604" s="700"/>
      <c r="N604" s="700"/>
      <c r="O604" s="700"/>
      <c r="P604" s="700"/>
      <c r="Q604" s="700"/>
      <c r="R604" s="700"/>
      <c r="S604" s="700"/>
      <c r="T604" s="700"/>
      <c r="U604" s="700"/>
      <c r="V604" s="697"/>
      <c r="W604" s="698"/>
    </row>
    <row r="605" spans="1:23" ht="22.5" customHeight="1" x14ac:dyDescent="0.25">
      <c r="A605" s="693"/>
      <c r="B605" s="694"/>
      <c r="C605" s="694"/>
      <c r="D605" s="694"/>
      <c r="E605" s="694"/>
      <c r="F605" s="694"/>
      <c r="G605" s="694"/>
      <c r="H605" s="694"/>
      <c r="I605" s="694"/>
      <c r="J605" s="694"/>
      <c r="K605" s="695"/>
      <c r="L605" s="700"/>
      <c r="M605" s="700"/>
      <c r="N605" s="700"/>
      <c r="O605" s="700"/>
      <c r="P605" s="700"/>
      <c r="Q605" s="700"/>
      <c r="R605" s="700"/>
      <c r="S605" s="700"/>
      <c r="T605" s="700"/>
      <c r="U605" s="700"/>
      <c r="V605" s="697"/>
      <c r="W605" s="698"/>
    </row>
    <row r="606" spans="1:23" ht="22.5" customHeight="1" x14ac:dyDescent="0.25">
      <c r="A606" s="693"/>
      <c r="B606" s="694"/>
      <c r="C606" s="694"/>
      <c r="D606" s="694"/>
      <c r="E606" s="694"/>
      <c r="F606" s="694"/>
      <c r="G606" s="694"/>
      <c r="H606" s="694"/>
      <c r="I606" s="694"/>
      <c r="J606" s="694"/>
      <c r="K606" s="695"/>
      <c r="L606" s="700"/>
      <c r="M606" s="700"/>
      <c r="N606" s="700"/>
      <c r="O606" s="700"/>
      <c r="P606" s="700"/>
      <c r="Q606" s="700"/>
      <c r="R606" s="700"/>
      <c r="S606" s="700"/>
      <c r="T606" s="700"/>
      <c r="U606" s="700"/>
      <c r="V606" s="697"/>
      <c r="W606" s="698"/>
    </row>
    <row r="607" spans="1:23" ht="22.5" customHeight="1" x14ac:dyDescent="0.25">
      <c r="A607" s="693"/>
      <c r="B607" s="694"/>
      <c r="C607" s="694"/>
      <c r="D607" s="694"/>
      <c r="E607" s="694"/>
      <c r="F607" s="694"/>
      <c r="G607" s="694"/>
      <c r="H607" s="694"/>
      <c r="I607" s="694"/>
      <c r="J607" s="694"/>
      <c r="K607" s="695"/>
      <c r="L607" s="700"/>
      <c r="M607" s="700"/>
      <c r="N607" s="700"/>
      <c r="O607" s="700"/>
      <c r="P607" s="700"/>
      <c r="Q607" s="700"/>
      <c r="R607" s="700"/>
      <c r="S607" s="700"/>
      <c r="T607" s="700"/>
      <c r="U607" s="700"/>
      <c r="V607" s="697"/>
      <c r="W607" s="698"/>
    </row>
    <row r="608" spans="1:23" ht="22.5" customHeight="1" x14ac:dyDescent="0.25">
      <c r="A608" s="693"/>
      <c r="B608" s="694"/>
      <c r="C608" s="694"/>
      <c r="D608" s="694"/>
      <c r="E608" s="694"/>
      <c r="F608" s="694"/>
      <c r="G608" s="694"/>
      <c r="H608" s="694"/>
      <c r="I608" s="694"/>
      <c r="J608" s="694"/>
      <c r="K608" s="695"/>
      <c r="L608" s="700"/>
      <c r="M608" s="700"/>
      <c r="N608" s="700"/>
      <c r="O608" s="700"/>
      <c r="P608" s="700"/>
      <c r="Q608" s="700"/>
      <c r="R608" s="700"/>
      <c r="S608" s="700"/>
      <c r="T608" s="700"/>
      <c r="U608" s="700"/>
      <c r="V608" s="697"/>
      <c r="W608" s="698"/>
    </row>
    <row r="609" spans="1:23" ht="22.5" customHeight="1" x14ac:dyDescent="0.25">
      <c r="A609" s="693"/>
      <c r="B609" s="694"/>
      <c r="C609" s="694"/>
      <c r="D609" s="694"/>
      <c r="E609" s="694"/>
      <c r="F609" s="694"/>
      <c r="G609" s="694"/>
      <c r="H609" s="694"/>
      <c r="I609" s="694"/>
      <c r="J609" s="694"/>
      <c r="K609" s="695"/>
      <c r="L609" s="700"/>
      <c r="M609" s="700"/>
      <c r="N609" s="700"/>
      <c r="O609" s="700"/>
      <c r="P609" s="700"/>
      <c r="Q609" s="700"/>
      <c r="R609" s="700"/>
      <c r="S609" s="700"/>
      <c r="T609" s="700"/>
      <c r="U609" s="700"/>
      <c r="V609" s="697"/>
      <c r="W609" s="698"/>
    </row>
    <row r="610" spans="1:23" ht="22.5" customHeight="1" x14ac:dyDescent="0.25">
      <c r="A610" s="693"/>
      <c r="B610" s="694"/>
      <c r="C610" s="694"/>
      <c r="D610" s="694"/>
      <c r="E610" s="694"/>
      <c r="F610" s="694"/>
      <c r="G610" s="694"/>
      <c r="H610" s="694"/>
      <c r="I610" s="694"/>
      <c r="J610" s="694"/>
      <c r="K610" s="695"/>
      <c r="L610" s="700"/>
      <c r="M610" s="700"/>
      <c r="N610" s="700"/>
      <c r="O610" s="700"/>
      <c r="P610" s="700"/>
      <c r="Q610" s="700"/>
      <c r="R610" s="700"/>
      <c r="S610" s="700"/>
      <c r="T610" s="700"/>
      <c r="U610" s="700"/>
      <c r="V610" s="697"/>
      <c r="W610" s="698"/>
    </row>
    <row r="611" spans="1:23" ht="22.5" customHeight="1" x14ac:dyDescent="0.25">
      <c r="A611" s="694"/>
      <c r="B611" s="694"/>
      <c r="C611" s="694"/>
      <c r="D611" s="694"/>
      <c r="E611" s="694"/>
      <c r="F611" s="694"/>
      <c r="G611" s="694"/>
      <c r="H611" s="694"/>
      <c r="I611" s="694"/>
      <c r="J611" s="694"/>
      <c r="K611" s="695"/>
      <c r="L611" s="700"/>
      <c r="M611" s="700"/>
      <c r="N611" s="700"/>
      <c r="O611" s="700"/>
      <c r="P611" s="700"/>
      <c r="Q611" s="700"/>
      <c r="R611" s="700"/>
      <c r="S611" s="700"/>
      <c r="T611" s="700"/>
      <c r="U611" s="700"/>
      <c r="V611" s="697"/>
      <c r="W611" s="698"/>
    </row>
    <row r="612" spans="1:23" ht="22.5" customHeight="1" x14ac:dyDescent="0.25">
      <c r="A612" s="693"/>
      <c r="B612" s="694"/>
      <c r="C612" s="694"/>
      <c r="D612" s="694"/>
      <c r="E612" s="694"/>
      <c r="F612" s="694"/>
      <c r="G612" s="694"/>
      <c r="H612" s="694"/>
      <c r="I612" s="694"/>
      <c r="J612" s="694"/>
      <c r="K612" s="695"/>
      <c r="L612" s="700"/>
      <c r="M612" s="700"/>
      <c r="N612" s="700"/>
      <c r="O612" s="700"/>
      <c r="P612" s="700"/>
      <c r="Q612" s="700"/>
      <c r="R612" s="700"/>
      <c r="S612" s="700"/>
      <c r="T612" s="700"/>
      <c r="U612" s="700"/>
      <c r="V612" s="697"/>
      <c r="W612" s="698"/>
    </row>
    <row r="613" spans="1:23" ht="22.5" customHeight="1" x14ac:dyDescent="0.25">
      <c r="A613" s="693"/>
      <c r="B613" s="694"/>
      <c r="C613" s="694"/>
      <c r="D613" s="694"/>
      <c r="E613" s="694"/>
      <c r="F613" s="694"/>
      <c r="G613" s="694"/>
      <c r="H613" s="694"/>
      <c r="I613" s="694"/>
      <c r="J613" s="694"/>
      <c r="K613" s="695"/>
      <c r="L613" s="700"/>
      <c r="M613" s="700"/>
      <c r="N613" s="700"/>
      <c r="O613" s="700"/>
      <c r="P613" s="700"/>
      <c r="Q613" s="700"/>
      <c r="R613" s="700"/>
      <c r="S613" s="700"/>
      <c r="T613" s="700"/>
      <c r="U613" s="700"/>
      <c r="V613" s="697"/>
      <c r="W613" s="698"/>
    </row>
    <row r="614" spans="1:23" ht="22.5" customHeight="1" x14ac:dyDescent="0.25">
      <c r="A614" s="693"/>
      <c r="B614" s="694"/>
      <c r="C614" s="694"/>
      <c r="D614" s="694"/>
      <c r="E614" s="694"/>
      <c r="F614" s="694"/>
      <c r="G614" s="694"/>
      <c r="H614" s="694"/>
      <c r="I614" s="694"/>
      <c r="J614" s="694"/>
      <c r="K614" s="695"/>
      <c r="L614" s="700"/>
      <c r="M614" s="700"/>
      <c r="N614" s="700"/>
      <c r="O614" s="700"/>
      <c r="P614" s="700"/>
      <c r="Q614" s="700"/>
      <c r="R614" s="700"/>
      <c r="S614" s="700"/>
      <c r="T614" s="700"/>
      <c r="U614" s="700"/>
      <c r="V614" s="697"/>
      <c r="W614" s="698"/>
    </row>
    <row r="615" spans="1:23" ht="22.5" customHeight="1" x14ac:dyDescent="0.25">
      <c r="A615" s="693"/>
      <c r="B615" s="694"/>
      <c r="C615" s="694"/>
      <c r="D615" s="694"/>
      <c r="E615" s="694"/>
      <c r="F615" s="694"/>
      <c r="G615" s="694"/>
      <c r="H615" s="694"/>
      <c r="I615" s="694"/>
      <c r="J615" s="694"/>
      <c r="K615" s="695"/>
      <c r="L615" s="700"/>
      <c r="M615" s="700"/>
      <c r="N615" s="700"/>
      <c r="O615" s="700"/>
      <c r="P615" s="700"/>
      <c r="Q615" s="700"/>
      <c r="R615" s="700"/>
      <c r="S615" s="700"/>
      <c r="T615" s="700"/>
      <c r="U615" s="700"/>
      <c r="V615" s="697"/>
      <c r="W615" s="698"/>
    </row>
    <row r="616" spans="1:23" ht="22.5" customHeight="1" x14ac:dyDescent="0.25">
      <c r="A616" s="693"/>
      <c r="B616" s="694"/>
      <c r="C616" s="694"/>
      <c r="D616" s="694"/>
      <c r="E616" s="694"/>
      <c r="F616" s="694"/>
      <c r="G616" s="694"/>
      <c r="H616" s="694"/>
      <c r="I616" s="694"/>
      <c r="J616" s="694"/>
      <c r="K616" s="695"/>
      <c r="L616" s="700"/>
      <c r="M616" s="700"/>
      <c r="N616" s="700"/>
      <c r="O616" s="700"/>
      <c r="P616" s="700"/>
      <c r="Q616" s="700"/>
      <c r="R616" s="700"/>
      <c r="S616" s="700"/>
      <c r="T616" s="700"/>
      <c r="U616" s="700"/>
      <c r="V616" s="697"/>
      <c r="W616" s="698"/>
    </row>
    <row r="617" spans="1:23" ht="22.5" customHeight="1" x14ac:dyDescent="0.25">
      <c r="A617" s="693"/>
      <c r="B617" s="694"/>
      <c r="C617" s="694"/>
      <c r="D617" s="694"/>
      <c r="E617" s="694"/>
      <c r="F617" s="694"/>
      <c r="G617" s="694"/>
      <c r="H617" s="694"/>
      <c r="I617" s="694"/>
      <c r="J617" s="694"/>
      <c r="K617" s="695"/>
      <c r="L617" s="700"/>
      <c r="M617" s="700"/>
      <c r="N617" s="700"/>
      <c r="O617" s="700"/>
      <c r="P617" s="700"/>
      <c r="Q617" s="700"/>
      <c r="R617" s="700"/>
      <c r="S617" s="700"/>
      <c r="T617" s="700"/>
      <c r="U617" s="700"/>
      <c r="V617" s="697"/>
      <c r="W617" s="698"/>
    </row>
    <row r="618" spans="1:23" ht="22.5" customHeight="1" x14ac:dyDescent="0.25">
      <c r="A618" s="693"/>
      <c r="B618" s="694"/>
      <c r="C618" s="694"/>
      <c r="D618" s="694"/>
      <c r="E618" s="694"/>
      <c r="F618" s="694"/>
      <c r="G618" s="694"/>
      <c r="H618" s="694"/>
      <c r="I618" s="694"/>
      <c r="J618" s="694"/>
      <c r="K618" s="695"/>
      <c r="L618" s="700"/>
      <c r="M618" s="700"/>
      <c r="N618" s="700"/>
      <c r="O618" s="700"/>
      <c r="P618" s="700"/>
      <c r="Q618" s="700"/>
      <c r="R618" s="700"/>
      <c r="S618" s="700"/>
      <c r="T618" s="700"/>
      <c r="U618" s="700"/>
      <c r="V618" s="697"/>
      <c r="W618" s="698"/>
    </row>
    <row r="619" spans="1:23" ht="22.5" customHeight="1" x14ac:dyDescent="0.25">
      <c r="A619" s="693"/>
      <c r="B619" s="694"/>
      <c r="C619" s="694"/>
      <c r="D619" s="694"/>
      <c r="E619" s="694"/>
      <c r="F619" s="694"/>
      <c r="G619" s="694"/>
      <c r="H619" s="694"/>
      <c r="I619" s="694"/>
      <c r="J619" s="694"/>
      <c r="K619" s="695"/>
      <c r="L619" s="700"/>
      <c r="M619" s="700"/>
      <c r="N619" s="700"/>
      <c r="O619" s="700"/>
      <c r="P619" s="700"/>
      <c r="Q619" s="700"/>
      <c r="R619" s="700"/>
      <c r="S619" s="700"/>
      <c r="T619" s="700"/>
      <c r="U619" s="700"/>
      <c r="V619" s="697"/>
      <c r="W619" s="698"/>
    </row>
    <row r="620" spans="1:23" ht="22.5" customHeight="1" x14ac:dyDescent="0.25">
      <c r="A620" s="693"/>
      <c r="B620" s="694"/>
      <c r="C620" s="694"/>
      <c r="D620" s="694"/>
      <c r="E620" s="694"/>
      <c r="F620" s="694"/>
      <c r="G620" s="694"/>
      <c r="H620" s="694"/>
      <c r="I620" s="694"/>
      <c r="J620" s="694"/>
      <c r="K620" s="695"/>
      <c r="L620" s="700"/>
      <c r="M620" s="700"/>
      <c r="N620" s="700"/>
      <c r="O620" s="700"/>
      <c r="P620" s="700"/>
      <c r="Q620" s="700"/>
      <c r="R620" s="700"/>
      <c r="S620" s="700"/>
      <c r="T620" s="700"/>
      <c r="U620" s="700"/>
      <c r="V620" s="697"/>
      <c r="W620" s="698"/>
    </row>
    <row r="621" spans="1:23" ht="22.5" customHeight="1" x14ac:dyDescent="0.25">
      <c r="A621" s="693"/>
      <c r="B621" s="694"/>
      <c r="C621" s="694"/>
      <c r="D621" s="694"/>
      <c r="E621" s="694"/>
      <c r="F621" s="694"/>
      <c r="G621" s="694"/>
      <c r="H621" s="694"/>
      <c r="I621" s="694"/>
      <c r="J621" s="694"/>
      <c r="K621" s="695"/>
      <c r="L621" s="700"/>
      <c r="M621" s="700"/>
      <c r="N621" s="700"/>
      <c r="O621" s="700"/>
      <c r="P621" s="700"/>
      <c r="Q621" s="700"/>
      <c r="R621" s="700"/>
      <c r="S621" s="700"/>
      <c r="T621" s="700"/>
      <c r="U621" s="700"/>
      <c r="V621" s="697"/>
      <c r="W621" s="698"/>
    </row>
    <row r="622" spans="1:23" ht="22.5" customHeight="1" x14ac:dyDescent="0.25">
      <c r="A622" s="693"/>
      <c r="B622" s="694"/>
      <c r="C622" s="694"/>
      <c r="D622" s="694"/>
      <c r="E622" s="694"/>
      <c r="F622" s="694"/>
      <c r="G622" s="694"/>
      <c r="H622" s="694"/>
      <c r="I622" s="694"/>
      <c r="J622" s="694"/>
      <c r="K622" s="695"/>
      <c r="L622" s="700"/>
      <c r="M622" s="700"/>
      <c r="N622" s="700"/>
      <c r="O622" s="700"/>
      <c r="P622" s="700"/>
      <c r="Q622" s="700"/>
      <c r="R622" s="700"/>
      <c r="S622" s="700"/>
      <c r="T622" s="700"/>
      <c r="U622" s="700"/>
      <c r="V622" s="697"/>
      <c r="W622" s="698"/>
    </row>
    <row r="623" spans="1:23" ht="22.5" customHeight="1" thickBot="1" x14ac:dyDescent="0.3">
      <c r="A623" s="701"/>
      <c r="B623" s="702"/>
      <c r="C623" s="702"/>
      <c r="D623" s="702"/>
      <c r="E623" s="702"/>
      <c r="F623" s="702"/>
      <c r="G623" s="702"/>
      <c r="H623" s="702"/>
      <c r="I623" s="702"/>
      <c r="J623" s="702"/>
      <c r="K623" s="703"/>
      <c r="L623" s="704"/>
      <c r="M623" s="704"/>
      <c r="N623" s="704"/>
      <c r="O623" s="704"/>
      <c r="P623" s="704"/>
      <c r="Q623" s="704"/>
      <c r="R623" s="704"/>
      <c r="S623" s="704"/>
      <c r="T623" s="704"/>
      <c r="U623" s="704"/>
      <c r="V623" s="705"/>
      <c r="W623" s="706"/>
    </row>
    <row r="624" spans="1:23" ht="22.5" customHeight="1" thickTop="1" thickBot="1" x14ac:dyDescent="0.3">
      <c r="A624" s="451"/>
      <c r="B624" s="450"/>
      <c r="C624" s="450"/>
      <c r="D624" s="450"/>
      <c r="E624" s="450"/>
      <c r="F624" s="450"/>
      <c r="G624" s="450"/>
      <c r="H624" s="450"/>
      <c r="I624" s="450"/>
      <c r="J624" s="450"/>
      <c r="K624" s="647"/>
      <c r="L624" s="707"/>
      <c r="M624" s="707"/>
      <c r="N624" s="707"/>
      <c r="O624" s="707"/>
      <c r="P624" s="707"/>
      <c r="Q624" s="707"/>
      <c r="R624" s="707"/>
      <c r="S624" s="707"/>
      <c r="T624" s="707"/>
      <c r="U624" s="707"/>
      <c r="V624" s="708"/>
      <c r="W624" s="644"/>
    </row>
    <row r="625" spans="1:23" ht="22.5" customHeight="1" thickTop="1" thickBot="1" x14ac:dyDescent="0.3">
      <c r="A625" s="451"/>
      <c r="B625" s="450"/>
      <c r="C625" s="450"/>
      <c r="D625" s="450"/>
      <c r="E625" s="450"/>
      <c r="F625" s="450"/>
      <c r="G625" s="450"/>
      <c r="H625" s="450"/>
      <c r="I625" s="450"/>
      <c r="J625" s="450"/>
      <c r="K625" s="647"/>
      <c r="L625" s="707"/>
      <c r="M625" s="707"/>
      <c r="N625" s="707"/>
      <c r="O625" s="707"/>
      <c r="P625" s="707"/>
      <c r="Q625" s="707"/>
      <c r="R625" s="707"/>
      <c r="S625" s="707"/>
      <c r="T625" s="707"/>
      <c r="U625" s="707"/>
      <c r="V625" s="708"/>
      <c r="W625" s="644"/>
    </row>
    <row r="626" spans="1:23" ht="22.5" customHeight="1" thickTop="1" thickBot="1" x14ac:dyDescent="0.3">
      <c r="A626" s="451"/>
      <c r="B626" s="450"/>
      <c r="C626" s="450"/>
      <c r="D626" s="450"/>
      <c r="E626" s="450"/>
      <c r="F626" s="450"/>
      <c r="G626" s="450"/>
      <c r="H626" s="450"/>
      <c r="I626" s="450"/>
      <c r="J626" s="450"/>
      <c r="K626" s="647"/>
      <c r="L626" s="707"/>
      <c r="M626" s="707"/>
      <c r="N626" s="707"/>
      <c r="O626" s="707"/>
      <c r="P626" s="707"/>
      <c r="Q626" s="707"/>
      <c r="R626" s="707"/>
      <c r="S626" s="707"/>
      <c r="T626" s="707"/>
      <c r="U626" s="707"/>
      <c r="V626" s="708"/>
      <c r="W626" s="644"/>
    </row>
    <row r="627" spans="1:23" ht="22.5" customHeight="1" thickTop="1" thickBot="1" x14ac:dyDescent="0.3">
      <c r="A627" s="451"/>
      <c r="B627" s="450"/>
      <c r="C627" s="450"/>
      <c r="D627" s="450"/>
      <c r="E627" s="450"/>
      <c r="F627" s="450"/>
      <c r="G627" s="450"/>
      <c r="H627" s="450"/>
      <c r="I627" s="450"/>
      <c r="J627" s="450"/>
      <c r="K627" s="647"/>
      <c r="L627" s="707"/>
      <c r="M627" s="707"/>
      <c r="N627" s="707"/>
      <c r="O627" s="707"/>
      <c r="P627" s="707"/>
      <c r="Q627" s="707"/>
      <c r="R627" s="707"/>
      <c r="S627" s="707"/>
      <c r="T627" s="707"/>
      <c r="U627" s="707"/>
      <c r="V627" s="708"/>
      <c r="W627" s="644"/>
    </row>
    <row r="628" spans="1:23" ht="22.5" customHeight="1" thickTop="1" thickBot="1" x14ac:dyDescent="0.3">
      <c r="A628" s="451"/>
      <c r="B628" s="450"/>
      <c r="C628" s="450"/>
      <c r="D628" s="450"/>
      <c r="E628" s="450"/>
      <c r="F628" s="450"/>
      <c r="G628" s="450"/>
      <c r="H628" s="450"/>
      <c r="I628" s="450"/>
      <c r="J628" s="450"/>
      <c r="K628" s="647"/>
      <c r="L628" s="707"/>
      <c r="M628" s="707"/>
      <c r="N628" s="707"/>
      <c r="O628" s="707"/>
      <c r="P628" s="707"/>
      <c r="Q628" s="707"/>
      <c r="R628" s="707"/>
      <c r="S628" s="707"/>
      <c r="T628" s="707"/>
      <c r="U628" s="707"/>
      <c r="V628" s="708"/>
      <c r="W628" s="644"/>
    </row>
    <row r="629" spans="1:23" ht="22.5" customHeight="1" thickTop="1" thickBot="1" x14ac:dyDescent="0.3">
      <c r="A629" s="451"/>
      <c r="B629" s="450"/>
      <c r="C629" s="450"/>
      <c r="D629" s="450"/>
      <c r="E629" s="450"/>
      <c r="F629" s="450"/>
      <c r="G629" s="450"/>
      <c r="H629" s="450"/>
      <c r="I629" s="450"/>
      <c r="J629" s="450"/>
      <c r="K629" s="647"/>
      <c r="L629" s="707"/>
      <c r="M629" s="707"/>
      <c r="N629" s="707"/>
      <c r="O629" s="707"/>
      <c r="P629" s="707"/>
      <c r="Q629" s="707"/>
      <c r="R629" s="707"/>
      <c r="S629" s="707"/>
      <c r="T629" s="707"/>
      <c r="U629" s="707"/>
      <c r="V629" s="708"/>
      <c r="W629" s="644"/>
    </row>
    <row r="630" spans="1:23" ht="22.5" customHeight="1" thickTop="1" thickBot="1" x14ac:dyDescent="0.3">
      <c r="A630" s="451"/>
      <c r="B630" s="450"/>
      <c r="C630" s="450"/>
      <c r="D630" s="450"/>
      <c r="E630" s="450"/>
      <c r="F630" s="450"/>
      <c r="G630" s="450"/>
      <c r="H630" s="450"/>
      <c r="I630" s="450"/>
      <c r="J630" s="450"/>
      <c r="K630" s="647"/>
      <c r="L630" s="707"/>
      <c r="M630" s="707"/>
      <c r="N630" s="707"/>
      <c r="O630" s="707"/>
      <c r="P630" s="707"/>
      <c r="Q630" s="707"/>
      <c r="R630" s="707"/>
      <c r="S630" s="707"/>
      <c r="T630" s="707"/>
      <c r="U630" s="707"/>
      <c r="V630" s="708"/>
      <c r="W630" s="644"/>
    </row>
    <row r="631" spans="1:23" ht="22.5" customHeight="1" thickTop="1" thickBot="1" x14ac:dyDescent="0.3">
      <c r="A631" s="451"/>
      <c r="B631" s="450"/>
      <c r="C631" s="450"/>
      <c r="D631" s="450"/>
      <c r="E631" s="450"/>
      <c r="F631" s="450"/>
      <c r="G631" s="450"/>
      <c r="H631" s="450"/>
      <c r="I631" s="450"/>
      <c r="J631" s="450"/>
      <c r="K631" s="647"/>
      <c r="L631" s="707"/>
      <c r="M631" s="707"/>
      <c r="N631" s="707"/>
      <c r="O631" s="707"/>
      <c r="P631" s="707"/>
      <c r="Q631" s="707"/>
      <c r="R631" s="707"/>
      <c r="S631" s="707"/>
      <c r="T631" s="707"/>
      <c r="U631" s="707"/>
      <c r="V631" s="708"/>
      <c r="W631" s="644"/>
    </row>
    <row r="632" spans="1:23" ht="22.5" customHeight="1" thickTop="1" thickBot="1" x14ac:dyDescent="0.3">
      <c r="A632" s="451"/>
      <c r="B632" s="450"/>
      <c r="C632" s="450"/>
      <c r="D632" s="450"/>
      <c r="E632" s="450"/>
      <c r="F632" s="450"/>
      <c r="G632" s="450"/>
      <c r="H632" s="450"/>
      <c r="I632" s="450"/>
      <c r="J632" s="450"/>
      <c r="K632" s="647"/>
      <c r="L632" s="707"/>
      <c r="M632" s="707"/>
      <c r="N632" s="707"/>
      <c r="O632" s="707"/>
      <c r="P632" s="707"/>
      <c r="Q632" s="707"/>
      <c r="R632" s="707"/>
      <c r="S632" s="707"/>
      <c r="T632" s="707"/>
      <c r="U632" s="707"/>
      <c r="V632" s="708"/>
      <c r="W632" s="644"/>
    </row>
    <row r="633" spans="1:23" ht="22.5" customHeight="1" thickTop="1" thickBot="1" x14ac:dyDescent="0.3">
      <c r="A633" s="451"/>
      <c r="B633" s="450"/>
      <c r="C633" s="450"/>
      <c r="D633" s="450"/>
      <c r="E633" s="450"/>
      <c r="F633" s="450"/>
      <c r="G633" s="450"/>
      <c r="H633" s="450"/>
      <c r="I633" s="450"/>
      <c r="J633" s="450"/>
      <c r="K633" s="647"/>
      <c r="L633" s="707"/>
      <c r="M633" s="707"/>
      <c r="N633" s="707"/>
      <c r="O633" s="707"/>
      <c r="P633" s="707"/>
      <c r="Q633" s="707"/>
      <c r="R633" s="707"/>
      <c r="S633" s="707"/>
      <c r="T633" s="707"/>
      <c r="U633" s="707"/>
      <c r="V633" s="708"/>
      <c r="W633" s="644"/>
    </row>
    <row r="634" spans="1:23" ht="22.5" customHeight="1" thickTop="1" thickBot="1" x14ac:dyDescent="0.3">
      <c r="A634" s="451"/>
      <c r="B634" s="450"/>
      <c r="C634" s="450"/>
      <c r="D634" s="450"/>
      <c r="E634" s="450"/>
      <c r="F634" s="450"/>
      <c r="G634" s="450"/>
      <c r="H634" s="450"/>
      <c r="I634" s="450"/>
      <c r="J634" s="450"/>
      <c r="K634" s="647"/>
      <c r="L634" s="707"/>
      <c r="M634" s="707"/>
      <c r="N634" s="707"/>
      <c r="O634" s="707"/>
      <c r="P634" s="707"/>
      <c r="Q634" s="707"/>
      <c r="R634" s="707"/>
      <c r="S634" s="707"/>
      <c r="T634" s="707"/>
      <c r="U634" s="707"/>
      <c r="V634" s="708"/>
      <c r="W634" s="644"/>
    </row>
    <row r="635" spans="1:23" ht="22.5" customHeight="1" thickTop="1" thickBot="1" x14ac:dyDescent="0.3">
      <c r="A635" s="451"/>
      <c r="B635" s="450"/>
      <c r="C635" s="450"/>
      <c r="D635" s="450"/>
      <c r="E635" s="450"/>
      <c r="F635" s="450"/>
      <c r="G635" s="450"/>
      <c r="H635" s="450"/>
      <c r="I635" s="450"/>
      <c r="J635" s="450"/>
      <c r="K635" s="647"/>
      <c r="L635" s="707"/>
      <c r="M635" s="707"/>
      <c r="N635" s="707"/>
      <c r="O635" s="707"/>
      <c r="P635" s="707"/>
      <c r="Q635" s="707"/>
      <c r="R635" s="707"/>
      <c r="S635" s="707"/>
      <c r="T635" s="707"/>
      <c r="U635" s="707"/>
      <c r="V635" s="708"/>
      <c r="W635" s="644"/>
    </row>
    <row r="636" spans="1:23" ht="22.5" customHeight="1" thickTop="1" thickBot="1" x14ac:dyDescent="0.3">
      <c r="A636" s="451"/>
      <c r="B636" s="450"/>
      <c r="C636" s="450"/>
      <c r="D636" s="450"/>
      <c r="E636" s="450"/>
      <c r="F636" s="450"/>
      <c r="G636" s="450"/>
      <c r="H636" s="450"/>
      <c r="I636" s="450"/>
      <c r="J636" s="450"/>
      <c r="K636" s="647"/>
      <c r="L636" s="707"/>
      <c r="M636" s="707"/>
      <c r="N636" s="707"/>
      <c r="O636" s="707"/>
      <c r="P636" s="707"/>
      <c r="Q636" s="707"/>
      <c r="R636" s="707"/>
      <c r="S636" s="707"/>
      <c r="T636" s="707"/>
      <c r="U636" s="707"/>
      <c r="V636" s="708"/>
      <c r="W636" s="644"/>
    </row>
    <row r="637" spans="1:23" ht="22.5" customHeight="1" thickTop="1" thickBot="1" x14ac:dyDescent="0.3">
      <c r="A637" s="451"/>
      <c r="B637" s="450"/>
      <c r="C637" s="450"/>
      <c r="D637" s="450"/>
      <c r="E637" s="450"/>
      <c r="F637" s="450"/>
      <c r="G637" s="450"/>
      <c r="H637" s="450"/>
      <c r="I637" s="450"/>
      <c r="J637" s="450"/>
      <c r="K637" s="647"/>
      <c r="L637" s="707"/>
      <c r="M637" s="707"/>
      <c r="N637" s="707"/>
      <c r="O637" s="707"/>
      <c r="P637" s="707"/>
      <c r="Q637" s="707"/>
      <c r="R637" s="707"/>
      <c r="S637" s="707"/>
      <c r="T637" s="707"/>
      <c r="U637" s="707"/>
      <c r="V637" s="708"/>
      <c r="W637" s="644"/>
    </row>
    <row r="638" spans="1:23" ht="22.5" customHeight="1" thickTop="1" thickBot="1" x14ac:dyDescent="0.3">
      <c r="A638" s="451"/>
      <c r="B638" s="450"/>
      <c r="C638" s="450"/>
      <c r="D638" s="450"/>
      <c r="E638" s="450"/>
      <c r="F638" s="450"/>
      <c r="G638" s="450"/>
      <c r="H638" s="450"/>
      <c r="I638" s="450"/>
      <c r="J638" s="450"/>
      <c r="K638" s="647"/>
      <c r="L638" s="707"/>
      <c r="M638" s="707"/>
      <c r="N638" s="707"/>
      <c r="O638" s="707"/>
      <c r="P638" s="707"/>
      <c r="Q638" s="707"/>
      <c r="R638" s="707"/>
      <c r="S638" s="707"/>
      <c r="T638" s="707"/>
      <c r="U638" s="707"/>
      <c r="V638" s="708"/>
      <c r="W638" s="644"/>
    </row>
    <row r="639" spans="1:23" ht="22.5" customHeight="1" thickTop="1" thickBot="1" x14ac:dyDescent="0.3">
      <c r="A639" s="451"/>
      <c r="B639" s="450"/>
      <c r="C639" s="450"/>
      <c r="D639" s="450"/>
      <c r="E639" s="450"/>
      <c r="F639" s="450"/>
      <c r="G639" s="450"/>
      <c r="H639" s="450"/>
      <c r="I639" s="450"/>
      <c r="J639" s="450"/>
      <c r="K639" s="647"/>
      <c r="L639" s="707"/>
      <c r="M639" s="707"/>
      <c r="N639" s="707"/>
      <c r="O639" s="707"/>
      <c r="P639" s="707"/>
      <c r="Q639" s="707"/>
      <c r="R639" s="707"/>
      <c r="S639" s="707"/>
      <c r="T639" s="707"/>
      <c r="U639" s="707"/>
      <c r="V639" s="708"/>
      <c r="W639" s="644"/>
    </row>
    <row r="640" spans="1:23" ht="22.5" customHeight="1" thickTop="1" thickBot="1" x14ac:dyDescent="0.3">
      <c r="A640" s="451"/>
      <c r="B640" s="450"/>
      <c r="C640" s="450"/>
      <c r="D640" s="450"/>
      <c r="E640" s="450"/>
      <c r="F640" s="450"/>
      <c r="G640" s="450"/>
      <c r="H640" s="450"/>
      <c r="I640" s="450"/>
      <c r="J640" s="450"/>
      <c r="K640" s="647"/>
      <c r="L640" s="707"/>
      <c r="M640" s="707"/>
      <c r="N640" s="707"/>
      <c r="O640" s="707"/>
      <c r="P640" s="707"/>
      <c r="Q640" s="707"/>
      <c r="R640" s="707"/>
      <c r="S640" s="707"/>
      <c r="T640" s="707"/>
      <c r="U640" s="707"/>
      <c r="V640" s="708"/>
      <c r="W640" s="644"/>
    </row>
    <row r="641" spans="1:23" ht="22.5" customHeight="1" thickTop="1" thickBot="1" x14ac:dyDescent="0.3">
      <c r="A641" s="451"/>
      <c r="B641" s="450"/>
      <c r="C641" s="450"/>
      <c r="D641" s="450"/>
      <c r="E641" s="450"/>
      <c r="F641" s="450"/>
      <c r="G641" s="450"/>
      <c r="H641" s="450"/>
      <c r="I641" s="450"/>
      <c r="J641" s="450"/>
      <c r="K641" s="647"/>
      <c r="L641" s="707"/>
      <c r="M641" s="707"/>
      <c r="N641" s="707"/>
      <c r="O641" s="707"/>
      <c r="P641" s="707"/>
      <c r="Q641" s="707"/>
      <c r="R641" s="707"/>
      <c r="S641" s="707"/>
      <c r="T641" s="707"/>
      <c r="U641" s="707"/>
      <c r="V641" s="708"/>
      <c r="W641" s="644"/>
    </row>
    <row r="642" spans="1:23" ht="22.5" customHeight="1" thickTop="1" thickBot="1" x14ac:dyDescent="0.3">
      <c r="A642" s="451"/>
      <c r="B642" s="450"/>
      <c r="C642" s="450"/>
      <c r="D642" s="450"/>
      <c r="E642" s="450"/>
      <c r="F642" s="450"/>
      <c r="G642" s="450"/>
      <c r="H642" s="450"/>
      <c r="I642" s="450"/>
      <c r="J642" s="450"/>
      <c r="K642" s="647"/>
      <c r="L642" s="707"/>
      <c r="M642" s="707"/>
      <c r="N642" s="707"/>
      <c r="O642" s="707"/>
      <c r="P642" s="707"/>
      <c r="Q642" s="707"/>
      <c r="R642" s="707"/>
      <c r="S642" s="707"/>
      <c r="T642" s="707"/>
      <c r="U642" s="707"/>
      <c r="V642" s="708"/>
      <c r="W642" s="644"/>
    </row>
    <row r="643" spans="1:23" ht="22.5" customHeight="1" thickTop="1" thickBot="1" x14ac:dyDescent="0.3">
      <c r="A643" s="451"/>
      <c r="B643" s="450"/>
      <c r="C643" s="450"/>
      <c r="D643" s="450"/>
      <c r="E643" s="450"/>
      <c r="F643" s="450"/>
      <c r="G643" s="450"/>
      <c r="H643" s="450"/>
      <c r="I643" s="450"/>
      <c r="J643" s="450"/>
      <c r="K643" s="647"/>
      <c r="L643" s="707"/>
      <c r="M643" s="707"/>
      <c r="N643" s="707"/>
      <c r="O643" s="707"/>
      <c r="P643" s="707"/>
      <c r="Q643" s="707"/>
      <c r="R643" s="707"/>
      <c r="S643" s="707"/>
      <c r="T643" s="707"/>
      <c r="U643" s="707"/>
      <c r="V643" s="708"/>
      <c r="W643" s="644"/>
    </row>
    <row r="644" spans="1:23" ht="22.5" customHeight="1" thickTop="1" thickBot="1" x14ac:dyDescent="0.3">
      <c r="A644" s="451"/>
      <c r="B644" s="450"/>
      <c r="C644" s="450"/>
      <c r="D644" s="450"/>
      <c r="E644" s="450"/>
      <c r="F644" s="450"/>
      <c r="G644" s="450"/>
      <c r="H644" s="450"/>
      <c r="I644" s="450"/>
      <c r="J644" s="450"/>
      <c r="K644" s="647"/>
      <c r="L644" s="707"/>
      <c r="M644" s="707"/>
      <c r="N644" s="707"/>
      <c r="O644" s="707"/>
      <c r="P644" s="707"/>
      <c r="Q644" s="707"/>
      <c r="R644" s="707"/>
      <c r="S644" s="707"/>
      <c r="T644" s="707"/>
      <c r="U644" s="707"/>
      <c r="V644" s="708"/>
      <c r="W644" s="644"/>
    </row>
    <row r="645" spans="1:23" ht="22.5" customHeight="1" thickTop="1" thickBot="1" x14ac:dyDescent="0.3">
      <c r="A645" s="451"/>
      <c r="B645" s="450"/>
      <c r="C645" s="450"/>
      <c r="D645" s="450"/>
      <c r="E645" s="450"/>
      <c r="F645" s="450"/>
      <c r="G645" s="450"/>
      <c r="H645" s="450"/>
      <c r="I645" s="450"/>
      <c r="J645" s="450"/>
      <c r="K645" s="647"/>
      <c r="L645" s="707"/>
      <c r="M645" s="707"/>
      <c r="N645" s="707"/>
      <c r="O645" s="707"/>
      <c r="P645" s="707"/>
      <c r="Q645" s="707"/>
      <c r="R645" s="707"/>
      <c r="S645" s="707"/>
      <c r="T645" s="707"/>
      <c r="U645" s="707"/>
      <c r="V645" s="708"/>
      <c r="W645" s="644"/>
    </row>
    <row r="646" spans="1:23" ht="22.5" customHeight="1" thickTop="1" thickBot="1" x14ac:dyDescent="0.3">
      <c r="A646" s="451"/>
      <c r="B646" s="450"/>
      <c r="C646" s="450"/>
      <c r="D646" s="450"/>
      <c r="E646" s="450"/>
      <c r="F646" s="450"/>
      <c r="G646" s="450"/>
      <c r="H646" s="450"/>
      <c r="I646" s="450"/>
      <c r="J646" s="450"/>
      <c r="K646" s="647"/>
      <c r="L646" s="707"/>
      <c r="M646" s="707"/>
      <c r="N646" s="707"/>
      <c r="O646" s="707"/>
      <c r="P646" s="707"/>
      <c r="Q646" s="707"/>
      <c r="R646" s="707"/>
      <c r="S646" s="707"/>
      <c r="T646" s="707"/>
      <c r="U646" s="707"/>
      <c r="V646" s="708"/>
      <c r="W646" s="644"/>
    </row>
    <row r="647" spans="1:23" ht="22.5" customHeight="1" thickTop="1" thickBot="1" x14ac:dyDescent="0.3">
      <c r="A647" s="451"/>
      <c r="B647" s="450"/>
      <c r="C647" s="450"/>
      <c r="D647" s="450"/>
      <c r="E647" s="450"/>
      <c r="F647" s="450"/>
      <c r="G647" s="450"/>
      <c r="H647" s="450"/>
      <c r="I647" s="450"/>
      <c r="J647" s="450"/>
      <c r="K647" s="647"/>
      <c r="L647" s="707"/>
      <c r="M647" s="707"/>
      <c r="N647" s="707"/>
      <c r="O647" s="707"/>
      <c r="P647" s="707"/>
      <c r="Q647" s="707"/>
      <c r="R647" s="707"/>
      <c r="S647" s="707"/>
      <c r="T647" s="707"/>
      <c r="U647" s="707"/>
      <c r="V647" s="708"/>
      <c r="W647" s="644"/>
    </row>
    <row r="648" spans="1:23" ht="22.5" customHeight="1" thickTop="1" thickBot="1" x14ac:dyDescent="0.3">
      <c r="A648" s="451"/>
      <c r="B648" s="450"/>
      <c r="C648" s="450"/>
      <c r="D648" s="450"/>
      <c r="E648" s="450"/>
      <c r="F648" s="450"/>
      <c r="G648" s="450"/>
      <c r="H648" s="450"/>
      <c r="I648" s="450"/>
      <c r="J648" s="450"/>
      <c r="K648" s="647"/>
      <c r="L648" s="707"/>
      <c r="M648" s="707"/>
      <c r="N648" s="707"/>
      <c r="O648" s="707"/>
      <c r="P648" s="707"/>
      <c r="Q648" s="707"/>
      <c r="R648" s="707"/>
      <c r="S648" s="707"/>
      <c r="T648" s="707"/>
      <c r="U648" s="707"/>
      <c r="V648" s="708"/>
      <c r="W648" s="644"/>
    </row>
    <row r="649" spans="1:23" ht="22.5" customHeight="1" thickTop="1" thickBot="1" x14ac:dyDescent="0.3">
      <c r="A649" s="451"/>
      <c r="B649" s="450"/>
      <c r="C649" s="450"/>
      <c r="D649" s="450"/>
      <c r="E649" s="450"/>
      <c r="F649" s="450"/>
      <c r="G649" s="450"/>
      <c r="H649" s="450"/>
      <c r="I649" s="450"/>
      <c r="J649" s="450"/>
      <c r="K649" s="647"/>
      <c r="L649" s="707"/>
      <c r="M649" s="707"/>
      <c r="N649" s="707"/>
      <c r="O649" s="707"/>
      <c r="P649" s="707"/>
      <c r="Q649" s="707"/>
      <c r="R649" s="707"/>
      <c r="S649" s="707"/>
      <c r="T649" s="707"/>
      <c r="U649" s="707"/>
      <c r="V649" s="708"/>
      <c r="W649" s="644"/>
    </row>
    <row r="650" spans="1:23" ht="22.5" customHeight="1" thickTop="1" thickBot="1" x14ac:dyDescent="0.3">
      <c r="A650" s="451"/>
      <c r="B650" s="450"/>
      <c r="C650" s="450"/>
      <c r="D650" s="450"/>
      <c r="E650" s="450"/>
      <c r="F650" s="450"/>
      <c r="G650" s="450"/>
      <c r="H650" s="450"/>
      <c r="I650" s="450"/>
      <c r="J650" s="450"/>
      <c r="K650" s="647"/>
      <c r="L650" s="707"/>
      <c r="M650" s="707"/>
      <c r="N650" s="707"/>
      <c r="O650" s="707"/>
      <c r="P650" s="707"/>
      <c r="Q650" s="707"/>
      <c r="R650" s="707"/>
      <c r="S650" s="707"/>
      <c r="T650" s="707"/>
      <c r="U650" s="707"/>
      <c r="V650" s="708"/>
      <c r="W650" s="644"/>
    </row>
    <row r="651" spans="1:23" ht="22.5" customHeight="1" thickTop="1" thickBot="1" x14ac:dyDescent="0.3">
      <c r="A651" s="451"/>
      <c r="B651" s="450"/>
      <c r="C651" s="450"/>
      <c r="D651" s="450"/>
      <c r="E651" s="450"/>
      <c r="F651" s="450"/>
      <c r="G651" s="450"/>
      <c r="H651" s="450"/>
      <c r="I651" s="450"/>
      <c r="J651" s="450"/>
      <c r="K651" s="647"/>
      <c r="L651" s="707"/>
      <c r="M651" s="707"/>
      <c r="N651" s="707"/>
      <c r="O651" s="707"/>
      <c r="P651" s="707"/>
      <c r="Q651" s="707"/>
      <c r="R651" s="707"/>
      <c r="S651" s="707"/>
      <c r="T651" s="707"/>
      <c r="U651" s="707"/>
      <c r="V651" s="708"/>
      <c r="W651" s="644"/>
    </row>
    <row r="652" spans="1:23" ht="22.5" customHeight="1" thickTop="1" thickBot="1" x14ac:dyDescent="0.3">
      <c r="A652" s="451"/>
      <c r="B652" s="450"/>
      <c r="C652" s="450"/>
      <c r="D652" s="450"/>
      <c r="E652" s="450"/>
      <c r="F652" s="450"/>
      <c r="G652" s="450"/>
      <c r="H652" s="450"/>
      <c r="I652" s="450"/>
      <c r="J652" s="450"/>
      <c r="K652" s="647"/>
      <c r="L652" s="707"/>
      <c r="M652" s="707"/>
      <c r="N652" s="707"/>
      <c r="O652" s="707"/>
      <c r="P652" s="707"/>
      <c r="Q652" s="707"/>
      <c r="R652" s="707"/>
      <c r="S652" s="707"/>
      <c r="T652" s="707"/>
      <c r="U652" s="707"/>
      <c r="V652" s="708"/>
      <c r="W652" s="644"/>
    </row>
    <row r="653" spans="1:23" ht="22.5" customHeight="1" thickTop="1" thickBot="1" x14ac:dyDescent="0.3">
      <c r="A653" s="451"/>
      <c r="B653" s="450"/>
      <c r="C653" s="450"/>
      <c r="D653" s="450"/>
      <c r="E653" s="450"/>
      <c r="F653" s="450"/>
      <c r="G653" s="450"/>
      <c r="H653" s="450"/>
      <c r="I653" s="450"/>
      <c r="J653" s="450"/>
      <c r="K653" s="647"/>
      <c r="L653" s="707"/>
      <c r="M653" s="707"/>
      <c r="N653" s="707"/>
      <c r="O653" s="707"/>
      <c r="P653" s="707"/>
      <c r="Q653" s="707"/>
      <c r="R653" s="707"/>
      <c r="S653" s="707"/>
      <c r="T653" s="707"/>
      <c r="U653" s="707"/>
      <c r="V653" s="708"/>
      <c r="W653" s="644"/>
    </row>
    <row r="654" spans="1:23" ht="22.5" customHeight="1" thickTop="1" thickBot="1" x14ac:dyDescent="0.3">
      <c r="A654" s="451"/>
      <c r="B654" s="450"/>
      <c r="C654" s="450"/>
      <c r="D654" s="450"/>
      <c r="E654" s="450"/>
      <c r="F654" s="450"/>
      <c r="G654" s="450"/>
      <c r="H654" s="450"/>
      <c r="I654" s="450"/>
      <c r="J654" s="450"/>
      <c r="K654" s="647"/>
      <c r="L654" s="707"/>
      <c r="M654" s="707"/>
      <c r="N654" s="707"/>
      <c r="O654" s="707"/>
      <c r="P654" s="707"/>
      <c r="Q654" s="707"/>
      <c r="R654" s="707"/>
      <c r="S654" s="707"/>
      <c r="T654" s="707"/>
      <c r="U654" s="707"/>
      <c r="V654" s="708"/>
      <c r="W654" s="644"/>
    </row>
    <row r="655" spans="1:23" ht="22.5" customHeight="1" thickTop="1" thickBot="1" x14ac:dyDescent="0.3">
      <c r="A655" s="451"/>
      <c r="B655" s="450"/>
      <c r="C655" s="450"/>
      <c r="D655" s="450"/>
      <c r="E655" s="450"/>
      <c r="F655" s="450"/>
      <c r="G655" s="450"/>
      <c r="H655" s="450"/>
      <c r="I655" s="450"/>
      <c r="J655" s="450"/>
      <c r="K655" s="647"/>
      <c r="L655" s="707"/>
      <c r="M655" s="707"/>
      <c r="N655" s="707"/>
      <c r="O655" s="707"/>
      <c r="P655" s="707"/>
      <c r="Q655" s="707"/>
      <c r="R655" s="707"/>
      <c r="S655" s="707"/>
      <c r="T655" s="707"/>
      <c r="U655" s="707"/>
      <c r="V655" s="708"/>
      <c r="W655" s="644"/>
    </row>
    <row r="656" spans="1:23" ht="22.5" customHeight="1" thickTop="1" thickBot="1" x14ac:dyDescent="0.3">
      <c r="A656" s="451"/>
      <c r="B656" s="450"/>
      <c r="C656" s="450"/>
      <c r="D656" s="450"/>
      <c r="E656" s="450"/>
      <c r="F656" s="450"/>
      <c r="G656" s="450"/>
      <c r="H656" s="450"/>
      <c r="I656" s="450"/>
      <c r="J656" s="450"/>
      <c r="K656" s="647"/>
      <c r="L656" s="707"/>
      <c r="M656" s="707"/>
      <c r="N656" s="707"/>
      <c r="O656" s="707"/>
      <c r="P656" s="707"/>
      <c r="Q656" s="707"/>
      <c r="R656" s="707"/>
      <c r="S656" s="707"/>
      <c r="T656" s="707"/>
      <c r="U656" s="707"/>
      <c r="V656" s="708"/>
      <c r="W656" s="644"/>
    </row>
    <row r="657" spans="1:23" ht="22.5" customHeight="1" thickTop="1" thickBot="1" x14ac:dyDescent="0.3">
      <c r="A657" s="451"/>
      <c r="B657" s="450"/>
      <c r="C657" s="450"/>
      <c r="D657" s="450"/>
      <c r="E657" s="450"/>
      <c r="F657" s="450"/>
      <c r="G657" s="450"/>
      <c r="H657" s="450"/>
      <c r="I657" s="450"/>
      <c r="J657" s="450"/>
      <c r="K657" s="647"/>
      <c r="L657" s="707"/>
      <c r="M657" s="707"/>
      <c r="N657" s="707"/>
      <c r="O657" s="707"/>
      <c r="P657" s="707"/>
      <c r="Q657" s="707"/>
      <c r="R657" s="707"/>
      <c r="S657" s="707"/>
      <c r="T657" s="707"/>
      <c r="U657" s="707"/>
      <c r="V657" s="708"/>
      <c r="W657" s="644"/>
    </row>
    <row r="658" spans="1:23" ht="22.5" customHeight="1" thickTop="1" thickBot="1" x14ac:dyDescent="0.3">
      <c r="A658" s="451"/>
      <c r="B658" s="450"/>
      <c r="C658" s="450"/>
      <c r="D658" s="450"/>
      <c r="E658" s="450"/>
      <c r="F658" s="450"/>
      <c r="G658" s="450"/>
      <c r="H658" s="450"/>
      <c r="I658" s="450"/>
      <c r="J658" s="450"/>
      <c r="K658" s="647"/>
      <c r="L658" s="707"/>
      <c r="M658" s="707"/>
      <c r="N658" s="707"/>
      <c r="O658" s="707"/>
      <c r="P658" s="707"/>
      <c r="Q658" s="707"/>
      <c r="R658" s="707"/>
      <c r="S658" s="707"/>
      <c r="T658" s="707"/>
      <c r="U658" s="707"/>
      <c r="V658" s="708"/>
      <c r="W658" s="644"/>
    </row>
    <row r="659" spans="1:23" ht="22.5" customHeight="1" thickTop="1" thickBot="1" x14ac:dyDescent="0.3">
      <c r="A659" s="451"/>
      <c r="B659" s="450"/>
      <c r="C659" s="450"/>
      <c r="D659" s="450"/>
      <c r="E659" s="450"/>
      <c r="F659" s="450"/>
      <c r="G659" s="450"/>
      <c r="H659" s="450"/>
      <c r="I659" s="450"/>
      <c r="J659" s="450"/>
      <c r="K659" s="647"/>
      <c r="L659" s="707"/>
      <c r="M659" s="707"/>
      <c r="N659" s="707"/>
      <c r="O659" s="707"/>
      <c r="P659" s="707"/>
      <c r="Q659" s="707"/>
      <c r="R659" s="707"/>
      <c r="S659" s="707"/>
      <c r="T659" s="707"/>
      <c r="U659" s="707"/>
      <c r="V659" s="708"/>
      <c r="W659" s="644"/>
    </row>
    <row r="660" spans="1:23" ht="22.5" customHeight="1" thickTop="1" thickBot="1" x14ac:dyDescent="0.3">
      <c r="A660" s="451"/>
      <c r="B660" s="450"/>
      <c r="C660" s="450"/>
      <c r="D660" s="450"/>
      <c r="E660" s="450"/>
      <c r="F660" s="450"/>
      <c r="G660" s="450"/>
      <c r="H660" s="450"/>
      <c r="I660" s="450"/>
      <c r="J660" s="450"/>
      <c r="K660" s="647"/>
      <c r="L660" s="707"/>
      <c r="M660" s="707"/>
      <c r="N660" s="707"/>
      <c r="O660" s="707"/>
      <c r="P660" s="707"/>
      <c r="Q660" s="707"/>
      <c r="R660" s="707"/>
      <c r="S660" s="707"/>
      <c r="T660" s="707"/>
      <c r="U660" s="707"/>
      <c r="V660" s="708"/>
      <c r="W660" s="644"/>
    </row>
    <row r="661" spans="1:23" ht="22.5" customHeight="1" thickTop="1" thickBot="1" x14ac:dyDescent="0.3">
      <c r="A661" s="451"/>
      <c r="B661" s="450"/>
      <c r="C661" s="450"/>
      <c r="D661" s="450"/>
      <c r="E661" s="450"/>
      <c r="F661" s="450"/>
      <c r="G661" s="450"/>
      <c r="H661" s="450"/>
      <c r="I661" s="450"/>
      <c r="J661" s="450"/>
      <c r="K661" s="647"/>
      <c r="L661" s="707"/>
      <c r="M661" s="707"/>
      <c r="N661" s="707"/>
      <c r="O661" s="707"/>
      <c r="P661" s="707"/>
      <c r="Q661" s="707"/>
      <c r="R661" s="707"/>
      <c r="S661" s="707"/>
      <c r="T661" s="707"/>
      <c r="U661" s="707"/>
      <c r="V661" s="708"/>
      <c r="W661" s="644"/>
    </row>
    <row r="662" spans="1:23" ht="22.5" customHeight="1" thickTop="1" thickBot="1" x14ac:dyDescent="0.3">
      <c r="A662" s="451"/>
      <c r="B662" s="450"/>
      <c r="C662" s="450"/>
      <c r="D662" s="450"/>
      <c r="E662" s="450"/>
      <c r="F662" s="450"/>
      <c r="G662" s="450"/>
      <c r="H662" s="450"/>
      <c r="I662" s="450"/>
      <c r="J662" s="450"/>
      <c r="K662" s="647"/>
      <c r="L662" s="707"/>
      <c r="M662" s="707"/>
      <c r="N662" s="707"/>
      <c r="O662" s="707"/>
      <c r="P662" s="707"/>
      <c r="Q662" s="707"/>
      <c r="R662" s="707"/>
      <c r="S662" s="707"/>
      <c r="T662" s="707"/>
      <c r="U662" s="707"/>
      <c r="V662" s="708"/>
      <c r="W662" s="644"/>
    </row>
    <row r="663" spans="1:23" ht="22.5" customHeight="1" thickTop="1" thickBot="1" x14ac:dyDescent="0.3">
      <c r="A663" s="451"/>
      <c r="B663" s="450"/>
      <c r="C663" s="450"/>
      <c r="D663" s="450"/>
      <c r="E663" s="450"/>
      <c r="F663" s="450"/>
      <c r="G663" s="450"/>
      <c r="H663" s="450"/>
      <c r="I663" s="450"/>
      <c r="J663" s="450"/>
      <c r="K663" s="647"/>
      <c r="L663" s="707"/>
      <c r="M663" s="707"/>
      <c r="N663" s="707"/>
      <c r="O663" s="707"/>
      <c r="P663" s="707"/>
      <c r="Q663" s="707"/>
      <c r="R663" s="707"/>
      <c r="S663" s="707"/>
      <c r="T663" s="707"/>
      <c r="U663" s="707"/>
      <c r="V663" s="708"/>
      <c r="W663" s="644"/>
    </row>
    <row r="664" spans="1:23" ht="22.5" customHeight="1" thickTop="1" thickBot="1" x14ac:dyDescent="0.3">
      <c r="A664" s="451"/>
      <c r="B664" s="450"/>
      <c r="C664" s="450"/>
      <c r="D664" s="450"/>
      <c r="E664" s="450"/>
      <c r="F664" s="450"/>
      <c r="G664" s="450"/>
      <c r="H664" s="450"/>
      <c r="I664" s="450"/>
      <c r="J664" s="450"/>
      <c r="K664" s="647"/>
      <c r="L664" s="707"/>
      <c r="M664" s="707"/>
      <c r="N664" s="707"/>
      <c r="O664" s="707"/>
      <c r="P664" s="707"/>
      <c r="Q664" s="707"/>
      <c r="R664" s="707"/>
      <c r="S664" s="707"/>
      <c r="T664" s="707"/>
      <c r="U664" s="707"/>
      <c r="V664" s="708"/>
      <c r="W664" s="644"/>
    </row>
    <row r="665" spans="1:23" ht="22.5" customHeight="1" thickTop="1" thickBot="1" x14ac:dyDescent="0.3">
      <c r="A665" s="451"/>
      <c r="B665" s="450"/>
      <c r="C665" s="450"/>
      <c r="D665" s="450"/>
      <c r="E665" s="450"/>
      <c r="F665" s="450"/>
      <c r="G665" s="450"/>
      <c r="H665" s="450"/>
      <c r="I665" s="450"/>
      <c r="J665" s="450"/>
      <c r="K665" s="647"/>
      <c r="L665" s="707"/>
      <c r="M665" s="707"/>
      <c r="N665" s="707"/>
      <c r="O665" s="707"/>
      <c r="P665" s="707"/>
      <c r="Q665" s="707"/>
      <c r="R665" s="707"/>
      <c r="S665" s="707"/>
      <c r="T665" s="707"/>
      <c r="U665" s="707"/>
      <c r="V665" s="708"/>
      <c r="W665" s="644"/>
    </row>
    <row r="666" spans="1:23" ht="22.5" customHeight="1" thickTop="1" thickBot="1" x14ac:dyDescent="0.3">
      <c r="A666" s="451"/>
      <c r="B666" s="450"/>
      <c r="C666" s="450"/>
      <c r="D666" s="450"/>
      <c r="E666" s="450"/>
      <c r="F666" s="450"/>
      <c r="G666" s="450"/>
      <c r="H666" s="450"/>
      <c r="I666" s="450"/>
      <c r="J666" s="450"/>
      <c r="K666" s="647"/>
      <c r="L666" s="707"/>
      <c r="M666" s="707"/>
      <c r="N666" s="707"/>
      <c r="O666" s="707"/>
      <c r="P666" s="707"/>
      <c r="Q666" s="707"/>
      <c r="R666" s="707"/>
      <c r="S666" s="707"/>
      <c r="T666" s="707"/>
      <c r="U666" s="707"/>
      <c r="V666" s="708"/>
      <c r="W666" s="644"/>
    </row>
    <row r="667" spans="1:23" ht="22.5" customHeight="1" thickTop="1" thickBot="1" x14ac:dyDescent="0.3">
      <c r="A667" s="451"/>
      <c r="B667" s="450"/>
      <c r="C667" s="450"/>
      <c r="D667" s="450"/>
      <c r="E667" s="450"/>
      <c r="F667" s="450"/>
      <c r="G667" s="450"/>
      <c r="H667" s="450"/>
      <c r="I667" s="450"/>
      <c r="J667" s="450"/>
      <c r="K667" s="647"/>
      <c r="L667" s="707"/>
      <c r="M667" s="707"/>
      <c r="N667" s="707"/>
      <c r="O667" s="707"/>
      <c r="P667" s="707"/>
      <c r="Q667" s="707"/>
      <c r="R667" s="707"/>
      <c r="S667" s="707"/>
      <c r="T667" s="707"/>
      <c r="U667" s="707"/>
      <c r="V667" s="708"/>
      <c r="W667" s="644"/>
    </row>
    <row r="668" spans="1:23" ht="22.5" customHeight="1" thickTop="1" thickBot="1" x14ac:dyDescent="0.3">
      <c r="A668" s="451"/>
      <c r="B668" s="450"/>
      <c r="C668" s="450"/>
      <c r="D668" s="450"/>
      <c r="E668" s="450"/>
      <c r="F668" s="450"/>
      <c r="G668" s="450"/>
      <c r="H668" s="450"/>
      <c r="I668" s="450"/>
      <c r="J668" s="450"/>
      <c r="K668" s="647"/>
      <c r="L668" s="707"/>
      <c r="M668" s="707"/>
      <c r="N668" s="707"/>
      <c r="O668" s="707"/>
      <c r="P668" s="707"/>
      <c r="Q668" s="707"/>
      <c r="R668" s="707"/>
      <c r="S668" s="707"/>
      <c r="T668" s="707"/>
      <c r="U668" s="707"/>
      <c r="V668" s="708"/>
      <c r="W668" s="644"/>
    </row>
    <row r="669" spans="1:23" ht="22.5" customHeight="1" thickTop="1" thickBot="1" x14ac:dyDescent="0.3">
      <c r="A669" s="451"/>
      <c r="B669" s="450"/>
      <c r="C669" s="450"/>
      <c r="D669" s="450"/>
      <c r="E669" s="450"/>
      <c r="F669" s="450"/>
      <c r="G669" s="450"/>
      <c r="H669" s="450"/>
      <c r="I669" s="450"/>
      <c r="J669" s="450"/>
      <c r="K669" s="647"/>
      <c r="L669" s="707"/>
      <c r="M669" s="707"/>
      <c r="N669" s="707"/>
      <c r="O669" s="707"/>
      <c r="P669" s="707"/>
      <c r="Q669" s="707"/>
      <c r="R669" s="707"/>
      <c r="S669" s="707"/>
      <c r="T669" s="707"/>
      <c r="U669" s="707"/>
      <c r="V669" s="708"/>
      <c r="W669" s="644"/>
    </row>
    <row r="670" spans="1:23" ht="22.5" customHeight="1" thickTop="1" thickBot="1" x14ac:dyDescent="0.3">
      <c r="A670" s="451"/>
      <c r="B670" s="450"/>
      <c r="C670" s="450"/>
      <c r="D670" s="450"/>
      <c r="E670" s="450"/>
      <c r="F670" s="450"/>
      <c r="G670" s="450"/>
      <c r="H670" s="450"/>
      <c r="I670" s="450"/>
      <c r="J670" s="450"/>
      <c r="K670" s="647"/>
      <c r="L670" s="707"/>
      <c r="M670" s="707"/>
      <c r="N670" s="707"/>
      <c r="O670" s="707"/>
      <c r="P670" s="707"/>
      <c r="Q670" s="707"/>
      <c r="R670" s="707"/>
      <c r="S670" s="707"/>
      <c r="T670" s="707"/>
      <c r="U670" s="707"/>
      <c r="V670" s="708"/>
      <c r="W670" s="644"/>
    </row>
    <row r="671" spans="1:23" ht="22.5" customHeight="1" thickTop="1" thickBot="1" x14ac:dyDescent="0.3">
      <c r="A671" s="451"/>
      <c r="B671" s="450"/>
      <c r="C671" s="450"/>
      <c r="D671" s="450"/>
      <c r="E671" s="450"/>
      <c r="F671" s="450"/>
      <c r="G671" s="450"/>
      <c r="H671" s="450"/>
      <c r="I671" s="450"/>
      <c r="J671" s="450"/>
      <c r="K671" s="647"/>
      <c r="L671" s="707"/>
      <c r="M671" s="707"/>
      <c r="N671" s="707"/>
      <c r="O671" s="707"/>
      <c r="P671" s="707"/>
      <c r="Q671" s="707"/>
      <c r="R671" s="707"/>
      <c r="S671" s="707"/>
      <c r="T671" s="707"/>
      <c r="U671" s="707"/>
      <c r="V671" s="708"/>
      <c r="W671" s="644"/>
    </row>
    <row r="672" spans="1:23" ht="22.5" customHeight="1" thickTop="1" thickBot="1" x14ac:dyDescent="0.3">
      <c r="A672" s="451"/>
      <c r="B672" s="450"/>
      <c r="C672" s="450"/>
      <c r="D672" s="450"/>
      <c r="E672" s="450"/>
      <c r="F672" s="450"/>
      <c r="G672" s="450"/>
      <c r="H672" s="450"/>
      <c r="I672" s="450"/>
      <c r="J672" s="450"/>
      <c r="K672" s="647"/>
      <c r="L672" s="707"/>
      <c r="M672" s="707"/>
      <c r="N672" s="707"/>
      <c r="O672" s="707"/>
      <c r="P672" s="707"/>
      <c r="Q672" s="707"/>
      <c r="R672" s="707"/>
      <c r="S672" s="707"/>
      <c r="T672" s="707"/>
      <c r="U672" s="707"/>
      <c r="V672" s="708"/>
      <c r="W672" s="644"/>
    </row>
    <row r="673" spans="1:23" ht="22.5" customHeight="1" thickTop="1" thickBot="1" x14ac:dyDescent="0.3">
      <c r="A673" s="451"/>
      <c r="B673" s="450"/>
      <c r="C673" s="450"/>
      <c r="D673" s="450"/>
      <c r="E673" s="450"/>
      <c r="F673" s="450"/>
      <c r="G673" s="450"/>
      <c r="H673" s="450"/>
      <c r="I673" s="450"/>
      <c r="J673" s="450"/>
      <c r="K673" s="647"/>
      <c r="L673" s="707"/>
      <c r="M673" s="707"/>
      <c r="N673" s="707"/>
      <c r="O673" s="707"/>
      <c r="P673" s="707"/>
      <c r="Q673" s="707"/>
      <c r="R673" s="707"/>
      <c r="S673" s="707"/>
      <c r="T673" s="707"/>
      <c r="U673" s="707"/>
      <c r="V673" s="708"/>
      <c r="W673" s="644"/>
    </row>
    <row r="674" spans="1:23" ht="22.5" customHeight="1" thickTop="1" thickBot="1" x14ac:dyDescent="0.3">
      <c r="A674" s="451"/>
      <c r="B674" s="450"/>
      <c r="C674" s="450"/>
      <c r="D674" s="450"/>
      <c r="E674" s="450"/>
      <c r="F674" s="450"/>
      <c r="G674" s="450"/>
      <c r="H674" s="450"/>
      <c r="I674" s="450"/>
      <c r="J674" s="450"/>
      <c r="K674" s="647"/>
      <c r="L674" s="707"/>
      <c r="M674" s="707"/>
      <c r="N674" s="707"/>
      <c r="O674" s="707"/>
      <c r="P674" s="707"/>
      <c r="Q674" s="707"/>
      <c r="R674" s="707"/>
      <c r="S674" s="707"/>
      <c r="T674" s="707"/>
      <c r="U674" s="707"/>
      <c r="V674" s="708"/>
      <c r="W674" s="644"/>
    </row>
    <row r="675" spans="1:23" ht="22.5" customHeight="1" thickTop="1" thickBot="1" x14ac:dyDescent="0.3">
      <c r="A675" s="451"/>
      <c r="B675" s="450"/>
      <c r="C675" s="450"/>
      <c r="D675" s="450"/>
      <c r="E675" s="450"/>
      <c r="F675" s="450"/>
      <c r="G675" s="450"/>
      <c r="H675" s="450"/>
      <c r="I675" s="450"/>
      <c r="J675" s="450"/>
      <c r="K675" s="647"/>
      <c r="L675" s="707"/>
      <c r="M675" s="707"/>
      <c r="N675" s="707"/>
      <c r="O675" s="707"/>
      <c r="P675" s="707"/>
      <c r="Q675" s="707"/>
      <c r="R675" s="707"/>
      <c r="S675" s="707"/>
      <c r="T675" s="707"/>
      <c r="U675" s="707"/>
      <c r="V675" s="708"/>
      <c r="W675" s="644"/>
    </row>
    <row r="676" spans="1:23" ht="22.5" customHeight="1" thickTop="1" thickBot="1" x14ac:dyDescent="0.3">
      <c r="A676" s="451"/>
      <c r="B676" s="450"/>
      <c r="C676" s="450"/>
      <c r="D676" s="450"/>
      <c r="E676" s="450"/>
      <c r="F676" s="450"/>
      <c r="G676" s="450"/>
      <c r="H676" s="450"/>
      <c r="I676" s="450"/>
      <c r="J676" s="450"/>
      <c r="K676" s="647"/>
      <c r="L676" s="707"/>
      <c r="M676" s="707"/>
      <c r="N676" s="707"/>
      <c r="O676" s="707"/>
      <c r="P676" s="707"/>
      <c r="Q676" s="707"/>
      <c r="R676" s="707"/>
      <c r="S676" s="707"/>
      <c r="T676" s="707"/>
      <c r="U676" s="707"/>
      <c r="V676" s="708"/>
      <c r="W676" s="644"/>
    </row>
    <row r="677" spans="1:23" ht="22.5" customHeight="1" thickTop="1" thickBot="1" x14ac:dyDescent="0.3">
      <c r="A677" s="451"/>
      <c r="B677" s="450"/>
      <c r="C677" s="450"/>
      <c r="D677" s="450"/>
      <c r="E677" s="450"/>
      <c r="F677" s="450"/>
      <c r="G677" s="450"/>
      <c r="H677" s="450"/>
      <c r="I677" s="450"/>
      <c r="J677" s="450"/>
      <c r="K677" s="647"/>
      <c r="L677" s="707"/>
      <c r="M677" s="707"/>
      <c r="N677" s="707"/>
      <c r="O677" s="707"/>
      <c r="P677" s="707"/>
      <c r="Q677" s="707"/>
      <c r="R677" s="707"/>
      <c r="S677" s="707"/>
      <c r="T677" s="707"/>
      <c r="U677" s="707"/>
      <c r="V677" s="708"/>
      <c r="W677" s="644"/>
    </row>
    <row r="678" spans="1:23" ht="22.5" customHeight="1" thickTop="1" thickBot="1" x14ac:dyDescent="0.3">
      <c r="A678" s="451"/>
      <c r="B678" s="450"/>
      <c r="C678" s="450"/>
      <c r="D678" s="450"/>
      <c r="E678" s="450"/>
      <c r="F678" s="450"/>
      <c r="G678" s="450"/>
      <c r="H678" s="450"/>
      <c r="I678" s="450"/>
      <c r="J678" s="450"/>
      <c r="K678" s="647"/>
      <c r="L678" s="707"/>
      <c r="M678" s="707"/>
      <c r="N678" s="707"/>
      <c r="O678" s="707"/>
      <c r="P678" s="707"/>
      <c r="Q678" s="707"/>
      <c r="R678" s="707"/>
      <c r="S678" s="707"/>
      <c r="T678" s="707"/>
      <c r="U678" s="707"/>
      <c r="V678" s="708"/>
      <c r="W678" s="644"/>
    </row>
    <row r="679" spans="1:23" ht="22.5" customHeight="1" thickTop="1" thickBot="1" x14ac:dyDescent="0.3">
      <c r="A679" s="451"/>
      <c r="B679" s="450"/>
      <c r="C679" s="450"/>
      <c r="D679" s="450"/>
      <c r="E679" s="450"/>
      <c r="F679" s="450"/>
      <c r="G679" s="450"/>
      <c r="H679" s="450"/>
      <c r="I679" s="450"/>
      <c r="J679" s="450"/>
      <c r="K679" s="647"/>
      <c r="L679" s="707"/>
      <c r="M679" s="707"/>
      <c r="N679" s="707"/>
      <c r="O679" s="707"/>
      <c r="P679" s="707"/>
      <c r="Q679" s="707"/>
      <c r="R679" s="707"/>
      <c r="S679" s="707"/>
      <c r="T679" s="707"/>
      <c r="U679" s="707"/>
      <c r="V679" s="708"/>
      <c r="W679" s="644"/>
    </row>
    <row r="680" spans="1:23" ht="22.5" customHeight="1" thickTop="1" thickBot="1" x14ac:dyDescent="0.3">
      <c r="A680" s="451"/>
      <c r="B680" s="450"/>
      <c r="C680" s="450"/>
      <c r="D680" s="450"/>
      <c r="E680" s="450"/>
      <c r="F680" s="450"/>
      <c r="G680" s="450"/>
      <c r="H680" s="450"/>
      <c r="I680" s="450"/>
      <c r="J680" s="450"/>
      <c r="K680" s="647"/>
      <c r="L680" s="707"/>
      <c r="M680" s="707"/>
      <c r="N680" s="707"/>
      <c r="O680" s="707"/>
      <c r="P680" s="707"/>
      <c r="Q680" s="707"/>
      <c r="R680" s="707"/>
      <c r="S680" s="707"/>
      <c r="T680" s="707"/>
      <c r="U680" s="707"/>
      <c r="V680" s="708"/>
      <c r="W680" s="644"/>
    </row>
    <row r="681" spans="1:23" ht="22.5" customHeight="1" thickTop="1" thickBot="1" x14ac:dyDescent="0.3">
      <c r="A681" s="451"/>
      <c r="B681" s="450"/>
      <c r="C681" s="450"/>
      <c r="D681" s="450"/>
      <c r="E681" s="450"/>
      <c r="F681" s="450"/>
      <c r="G681" s="450"/>
      <c r="H681" s="450"/>
      <c r="I681" s="450"/>
      <c r="J681" s="450"/>
      <c r="K681" s="647"/>
      <c r="L681" s="707"/>
      <c r="M681" s="707"/>
      <c r="N681" s="707"/>
      <c r="O681" s="707"/>
      <c r="P681" s="707"/>
      <c r="Q681" s="707"/>
      <c r="R681" s="707"/>
      <c r="S681" s="707"/>
      <c r="T681" s="707"/>
      <c r="U681" s="707"/>
      <c r="V681" s="708"/>
      <c r="W681" s="644"/>
    </row>
    <row r="682" spans="1:23" ht="22.5" customHeight="1" thickTop="1" thickBot="1" x14ac:dyDescent="0.3">
      <c r="A682" s="451"/>
      <c r="B682" s="450"/>
      <c r="C682" s="450"/>
      <c r="D682" s="450"/>
      <c r="E682" s="450"/>
      <c r="F682" s="450"/>
      <c r="G682" s="450"/>
      <c r="H682" s="450"/>
      <c r="I682" s="450"/>
      <c r="J682" s="450"/>
      <c r="K682" s="647"/>
      <c r="L682" s="707"/>
      <c r="M682" s="707"/>
      <c r="N682" s="707"/>
      <c r="O682" s="707"/>
      <c r="P682" s="707"/>
      <c r="Q682" s="707"/>
      <c r="R682" s="707"/>
      <c r="S682" s="707"/>
      <c r="T682" s="707"/>
      <c r="U682" s="707"/>
      <c r="V682" s="708"/>
      <c r="W682" s="644"/>
    </row>
    <row r="683" spans="1:23" ht="22.5" customHeight="1" thickTop="1" thickBot="1" x14ac:dyDescent="0.3">
      <c r="A683" s="451"/>
      <c r="B683" s="450"/>
      <c r="C683" s="450"/>
      <c r="D683" s="450"/>
      <c r="E683" s="450"/>
      <c r="F683" s="450"/>
      <c r="G683" s="450"/>
      <c r="H683" s="450"/>
      <c r="I683" s="450"/>
      <c r="J683" s="450"/>
      <c r="K683" s="647"/>
      <c r="L683" s="707"/>
      <c r="M683" s="707"/>
      <c r="N683" s="707"/>
      <c r="O683" s="707"/>
      <c r="P683" s="707"/>
      <c r="Q683" s="707"/>
      <c r="R683" s="707"/>
      <c r="S683" s="707"/>
      <c r="T683" s="707"/>
      <c r="U683" s="707"/>
      <c r="V683" s="708"/>
      <c r="W683" s="644"/>
    </row>
    <row r="684" spans="1:23" ht="22.5" customHeight="1" thickTop="1" thickBot="1" x14ac:dyDescent="0.3">
      <c r="A684" s="451"/>
      <c r="B684" s="450"/>
      <c r="C684" s="450"/>
      <c r="D684" s="450"/>
      <c r="E684" s="450"/>
      <c r="F684" s="450"/>
      <c r="G684" s="450"/>
      <c r="H684" s="450"/>
      <c r="I684" s="450"/>
      <c r="J684" s="450"/>
      <c r="K684" s="647"/>
      <c r="L684" s="707"/>
      <c r="M684" s="707"/>
      <c r="N684" s="707"/>
      <c r="O684" s="707"/>
      <c r="P684" s="707"/>
      <c r="Q684" s="707"/>
      <c r="R684" s="707"/>
      <c r="S684" s="707"/>
      <c r="T684" s="707"/>
      <c r="U684" s="707"/>
      <c r="V684" s="708"/>
      <c r="W684" s="644"/>
    </row>
    <row r="685" spans="1:23" ht="22.5" customHeight="1" thickTop="1" thickBot="1" x14ac:dyDescent="0.3">
      <c r="A685" s="451"/>
      <c r="B685" s="450"/>
      <c r="C685" s="450"/>
      <c r="D685" s="450"/>
      <c r="E685" s="450"/>
      <c r="F685" s="450"/>
      <c r="G685" s="450"/>
      <c r="H685" s="450"/>
      <c r="I685" s="450"/>
      <c r="J685" s="450"/>
      <c r="K685" s="647"/>
      <c r="L685" s="707"/>
      <c r="M685" s="707"/>
      <c r="N685" s="707"/>
      <c r="O685" s="707"/>
      <c r="P685" s="707"/>
      <c r="Q685" s="707"/>
      <c r="R685" s="707"/>
      <c r="S685" s="707"/>
      <c r="T685" s="707"/>
      <c r="U685" s="707"/>
      <c r="V685" s="708"/>
      <c r="W685" s="644"/>
    </row>
    <row r="686" spans="1:23" ht="22.5" customHeight="1" thickTop="1" thickBot="1" x14ac:dyDescent="0.3">
      <c r="A686" s="451"/>
      <c r="B686" s="450"/>
      <c r="C686" s="450"/>
      <c r="D686" s="450"/>
      <c r="E686" s="450"/>
      <c r="F686" s="450"/>
      <c r="G686" s="450"/>
      <c r="H686" s="450"/>
      <c r="I686" s="450"/>
      <c r="J686" s="450"/>
      <c r="K686" s="647"/>
      <c r="L686" s="707"/>
      <c r="M686" s="707"/>
      <c r="N686" s="707"/>
      <c r="O686" s="707"/>
      <c r="P686" s="707"/>
      <c r="Q686" s="707"/>
      <c r="R686" s="707"/>
      <c r="S686" s="707"/>
      <c r="T686" s="707"/>
      <c r="U686" s="707"/>
      <c r="V686" s="708"/>
      <c r="W686" s="644"/>
    </row>
    <row r="687" spans="1:23" ht="22.5" customHeight="1" thickTop="1" thickBot="1" x14ac:dyDescent="0.3">
      <c r="A687" s="451"/>
      <c r="B687" s="450"/>
      <c r="C687" s="450"/>
      <c r="D687" s="450"/>
      <c r="E687" s="450"/>
      <c r="F687" s="450"/>
      <c r="G687" s="450"/>
      <c r="H687" s="450"/>
      <c r="I687" s="450"/>
      <c r="J687" s="450"/>
      <c r="K687" s="647"/>
      <c r="L687" s="707"/>
      <c r="M687" s="707"/>
      <c r="N687" s="707"/>
      <c r="O687" s="707"/>
      <c r="P687" s="707"/>
      <c r="Q687" s="707"/>
      <c r="R687" s="707"/>
      <c r="S687" s="707"/>
      <c r="T687" s="707"/>
      <c r="U687" s="707"/>
      <c r="V687" s="708"/>
      <c r="W687" s="644"/>
    </row>
    <row r="688" spans="1:23" ht="22.5" customHeight="1" thickTop="1" thickBot="1" x14ac:dyDescent="0.3">
      <c r="A688" s="451"/>
      <c r="B688" s="450"/>
      <c r="C688" s="450"/>
      <c r="D688" s="450"/>
      <c r="E688" s="450"/>
      <c r="F688" s="450"/>
      <c r="G688" s="450"/>
      <c r="H688" s="450"/>
      <c r="I688" s="450"/>
      <c r="J688" s="450"/>
      <c r="K688" s="647"/>
      <c r="L688" s="707"/>
      <c r="M688" s="707"/>
      <c r="N688" s="707"/>
      <c r="O688" s="707"/>
      <c r="P688" s="707"/>
      <c r="Q688" s="707"/>
      <c r="R688" s="707"/>
      <c r="S688" s="707"/>
      <c r="T688" s="707"/>
      <c r="U688" s="707"/>
      <c r="V688" s="708"/>
      <c r="W688" s="644"/>
    </row>
    <row r="689" spans="1:23" ht="22.5" customHeight="1" thickTop="1" thickBot="1" x14ac:dyDescent="0.3">
      <c r="A689" s="451"/>
      <c r="B689" s="450"/>
      <c r="C689" s="450"/>
      <c r="D689" s="450"/>
      <c r="E689" s="450"/>
      <c r="F689" s="450"/>
      <c r="G689" s="450"/>
      <c r="H689" s="450"/>
      <c r="I689" s="450"/>
      <c r="J689" s="450"/>
      <c r="K689" s="647"/>
      <c r="L689" s="707"/>
      <c r="M689" s="707"/>
      <c r="N689" s="707"/>
      <c r="O689" s="707"/>
      <c r="P689" s="707"/>
      <c r="Q689" s="707"/>
      <c r="R689" s="707"/>
      <c r="S689" s="707"/>
      <c r="T689" s="707"/>
      <c r="U689" s="707"/>
      <c r="V689" s="708"/>
      <c r="W689" s="644"/>
    </row>
    <row r="690" spans="1:23" ht="22.5" customHeight="1" thickTop="1" thickBot="1" x14ac:dyDescent="0.3">
      <c r="A690" s="451"/>
      <c r="B690" s="450"/>
      <c r="C690" s="450"/>
      <c r="D690" s="450"/>
      <c r="E690" s="450"/>
      <c r="F690" s="450"/>
      <c r="G690" s="450"/>
      <c r="H690" s="450"/>
      <c r="I690" s="450"/>
      <c r="J690" s="450"/>
      <c r="K690" s="647"/>
      <c r="L690" s="707"/>
      <c r="M690" s="707"/>
      <c r="N690" s="707"/>
      <c r="O690" s="707"/>
      <c r="P690" s="707"/>
      <c r="Q690" s="707"/>
      <c r="R690" s="707"/>
      <c r="S690" s="707"/>
      <c r="T690" s="707"/>
      <c r="U690" s="707"/>
      <c r="V690" s="708"/>
      <c r="W690" s="644"/>
    </row>
    <row r="691" spans="1:23" ht="22.5" customHeight="1" thickTop="1" thickBot="1" x14ac:dyDescent="0.3">
      <c r="A691" s="451"/>
      <c r="B691" s="450"/>
      <c r="C691" s="450"/>
      <c r="D691" s="450"/>
      <c r="E691" s="450"/>
      <c r="F691" s="450"/>
      <c r="G691" s="450"/>
      <c r="H691" s="450"/>
      <c r="I691" s="450"/>
      <c r="J691" s="450"/>
      <c r="K691" s="647"/>
      <c r="L691" s="707"/>
      <c r="M691" s="707"/>
      <c r="N691" s="707"/>
      <c r="O691" s="707"/>
      <c r="P691" s="707"/>
      <c r="Q691" s="707"/>
      <c r="R691" s="707"/>
      <c r="S691" s="707"/>
      <c r="T691" s="707"/>
      <c r="U691" s="707"/>
      <c r="V691" s="708"/>
      <c r="W691" s="644"/>
    </row>
    <row r="692" spans="1:23" ht="22.5" customHeight="1" thickTop="1" thickBot="1" x14ac:dyDescent="0.3">
      <c r="A692" s="451"/>
      <c r="B692" s="450"/>
      <c r="C692" s="450"/>
      <c r="D692" s="450"/>
      <c r="E692" s="450"/>
      <c r="F692" s="450"/>
      <c r="G692" s="450"/>
      <c r="H692" s="450"/>
      <c r="I692" s="450"/>
      <c r="J692" s="450"/>
      <c r="K692" s="647"/>
      <c r="L692" s="707"/>
      <c r="M692" s="707"/>
      <c r="N692" s="707"/>
      <c r="O692" s="707"/>
      <c r="P692" s="707"/>
      <c r="Q692" s="707"/>
      <c r="R692" s="707"/>
      <c r="S692" s="707"/>
      <c r="T692" s="707"/>
      <c r="U692" s="707"/>
      <c r="V692" s="708"/>
      <c r="W692" s="644"/>
    </row>
    <row r="693" spans="1:23" ht="22.5" customHeight="1" thickTop="1" thickBot="1" x14ac:dyDescent="0.3">
      <c r="A693" s="451"/>
      <c r="B693" s="450"/>
      <c r="C693" s="450"/>
      <c r="D693" s="450"/>
      <c r="E693" s="450"/>
      <c r="F693" s="450"/>
      <c r="G693" s="450"/>
      <c r="H693" s="450"/>
      <c r="I693" s="450"/>
      <c r="J693" s="450"/>
      <c r="K693" s="647"/>
      <c r="L693" s="707"/>
      <c r="M693" s="707"/>
      <c r="N693" s="707"/>
      <c r="O693" s="707"/>
      <c r="P693" s="707"/>
      <c r="Q693" s="707"/>
      <c r="R693" s="707"/>
      <c r="S693" s="707"/>
      <c r="T693" s="707"/>
      <c r="U693" s="707"/>
      <c r="V693" s="708"/>
      <c r="W693" s="644"/>
    </row>
    <row r="694" spans="1:23" ht="22.5" customHeight="1" thickTop="1" thickBot="1" x14ac:dyDescent="0.3">
      <c r="A694" s="451"/>
      <c r="B694" s="450"/>
      <c r="C694" s="450"/>
      <c r="D694" s="450"/>
      <c r="E694" s="450"/>
      <c r="F694" s="450"/>
      <c r="G694" s="450"/>
      <c r="H694" s="450"/>
      <c r="I694" s="450"/>
      <c r="J694" s="450"/>
      <c r="K694" s="647"/>
      <c r="L694" s="707"/>
      <c r="M694" s="707"/>
      <c r="N694" s="707"/>
      <c r="O694" s="707"/>
      <c r="P694" s="707"/>
      <c r="Q694" s="707"/>
      <c r="R694" s="707"/>
      <c r="S694" s="707"/>
      <c r="T694" s="707"/>
      <c r="U694" s="707"/>
      <c r="V694" s="708"/>
      <c r="W694" s="644"/>
    </row>
    <row r="695" spans="1:23" ht="22.5" customHeight="1" thickTop="1" thickBot="1" x14ac:dyDescent="0.3">
      <c r="A695" s="451"/>
      <c r="B695" s="450"/>
      <c r="C695" s="450"/>
      <c r="D695" s="450"/>
      <c r="E695" s="450"/>
      <c r="F695" s="450"/>
      <c r="G695" s="450"/>
      <c r="H695" s="450"/>
      <c r="I695" s="450"/>
      <c r="J695" s="450"/>
      <c r="K695" s="647"/>
      <c r="L695" s="707"/>
      <c r="M695" s="707"/>
      <c r="N695" s="707"/>
      <c r="O695" s="707"/>
      <c r="P695" s="707"/>
      <c r="Q695" s="707"/>
      <c r="R695" s="707"/>
      <c r="S695" s="707"/>
      <c r="T695" s="707"/>
      <c r="U695" s="707"/>
      <c r="V695" s="708"/>
      <c r="W695" s="644"/>
    </row>
    <row r="696" spans="1:23" ht="22.5" customHeight="1" thickTop="1" thickBot="1" x14ac:dyDescent="0.3">
      <c r="A696" s="451"/>
      <c r="B696" s="450"/>
      <c r="C696" s="450"/>
      <c r="D696" s="450"/>
      <c r="E696" s="450"/>
      <c r="F696" s="450"/>
      <c r="G696" s="450"/>
      <c r="H696" s="450"/>
      <c r="I696" s="450"/>
      <c r="J696" s="450"/>
      <c r="K696" s="647"/>
      <c r="L696" s="707"/>
      <c r="M696" s="707"/>
      <c r="N696" s="707"/>
      <c r="O696" s="707"/>
      <c r="P696" s="707"/>
      <c r="Q696" s="707"/>
      <c r="R696" s="707"/>
      <c r="S696" s="707"/>
      <c r="T696" s="707"/>
      <c r="U696" s="707"/>
      <c r="V696" s="708"/>
      <c r="W696" s="644"/>
    </row>
    <row r="697" spans="1:23" ht="22.5" customHeight="1" thickTop="1" thickBot="1" x14ac:dyDescent="0.3">
      <c r="A697" s="451"/>
      <c r="B697" s="450"/>
      <c r="C697" s="450"/>
      <c r="D697" s="450"/>
      <c r="E697" s="450"/>
      <c r="F697" s="450"/>
      <c r="G697" s="450"/>
      <c r="H697" s="450"/>
      <c r="I697" s="450"/>
      <c r="J697" s="450"/>
      <c r="K697" s="647"/>
      <c r="L697" s="707"/>
      <c r="M697" s="707"/>
      <c r="N697" s="707"/>
      <c r="O697" s="707"/>
      <c r="P697" s="707"/>
      <c r="Q697" s="707"/>
      <c r="R697" s="707"/>
      <c r="S697" s="707"/>
      <c r="T697" s="707"/>
      <c r="U697" s="707"/>
      <c r="V697" s="708"/>
      <c r="W697" s="644"/>
    </row>
    <row r="698" spans="1:23" ht="22.5" customHeight="1" thickTop="1" thickBot="1" x14ac:dyDescent="0.3">
      <c r="A698" s="451"/>
      <c r="B698" s="450"/>
      <c r="C698" s="450"/>
      <c r="D698" s="450"/>
      <c r="E698" s="450"/>
      <c r="F698" s="450"/>
      <c r="G698" s="450"/>
      <c r="H698" s="450"/>
      <c r="I698" s="450"/>
      <c r="J698" s="450"/>
      <c r="K698" s="647"/>
      <c r="L698" s="707"/>
      <c r="M698" s="707"/>
      <c r="N698" s="707"/>
      <c r="O698" s="707"/>
      <c r="P698" s="707"/>
      <c r="Q698" s="707"/>
      <c r="R698" s="707"/>
      <c r="S698" s="707"/>
      <c r="T698" s="707"/>
      <c r="U698" s="707"/>
      <c r="V698" s="708"/>
      <c r="W698" s="644"/>
    </row>
    <row r="699" spans="1:23" ht="22.5" customHeight="1" thickTop="1" thickBot="1" x14ac:dyDescent="0.3">
      <c r="A699" s="451"/>
      <c r="B699" s="450"/>
      <c r="C699" s="450"/>
      <c r="D699" s="450"/>
      <c r="E699" s="450"/>
      <c r="F699" s="450"/>
      <c r="G699" s="450"/>
      <c r="H699" s="450"/>
      <c r="I699" s="450"/>
      <c r="J699" s="450"/>
      <c r="K699" s="647"/>
      <c r="L699" s="707"/>
      <c r="M699" s="707"/>
      <c r="N699" s="707"/>
      <c r="O699" s="707"/>
      <c r="P699" s="707"/>
      <c r="Q699" s="707"/>
      <c r="R699" s="707"/>
      <c r="S699" s="707"/>
      <c r="T699" s="707"/>
      <c r="U699" s="707"/>
      <c r="V699" s="708"/>
      <c r="W699" s="644"/>
    </row>
    <row r="700" spans="1:23" ht="22.5" customHeight="1" thickTop="1" thickBot="1" x14ac:dyDescent="0.3">
      <c r="A700" s="451"/>
      <c r="B700" s="450"/>
      <c r="C700" s="450"/>
      <c r="D700" s="450"/>
      <c r="E700" s="450"/>
      <c r="F700" s="450"/>
      <c r="G700" s="450"/>
      <c r="H700" s="450"/>
      <c r="I700" s="450"/>
      <c r="J700" s="450"/>
      <c r="K700" s="647"/>
      <c r="L700" s="707"/>
      <c r="M700" s="707"/>
      <c r="N700" s="707"/>
      <c r="O700" s="707"/>
      <c r="P700" s="707"/>
      <c r="Q700" s="707"/>
      <c r="R700" s="707"/>
      <c r="S700" s="707"/>
      <c r="T700" s="707"/>
      <c r="U700" s="707"/>
      <c r="V700" s="708"/>
      <c r="W700" s="644"/>
    </row>
    <row r="701" spans="1:23" ht="22.5" customHeight="1" thickTop="1" thickBot="1" x14ac:dyDescent="0.3">
      <c r="A701" s="451"/>
      <c r="B701" s="450"/>
      <c r="C701" s="450"/>
      <c r="D701" s="450"/>
      <c r="E701" s="450"/>
      <c r="F701" s="450"/>
      <c r="G701" s="450"/>
      <c r="H701" s="450"/>
      <c r="I701" s="450"/>
      <c r="J701" s="450"/>
      <c r="K701" s="647"/>
      <c r="L701" s="707"/>
      <c r="M701" s="707"/>
      <c r="N701" s="707"/>
      <c r="O701" s="707"/>
      <c r="P701" s="707"/>
      <c r="Q701" s="707"/>
      <c r="R701" s="707"/>
      <c r="S701" s="707"/>
      <c r="T701" s="707"/>
      <c r="U701" s="707"/>
      <c r="V701" s="708"/>
      <c r="W701" s="644"/>
    </row>
    <row r="702" spans="1:23" ht="22.5" customHeight="1" thickTop="1" thickBot="1" x14ac:dyDescent="0.3">
      <c r="A702" s="451"/>
      <c r="B702" s="450"/>
      <c r="C702" s="450"/>
      <c r="D702" s="450"/>
      <c r="E702" s="450"/>
      <c r="F702" s="450"/>
      <c r="G702" s="450"/>
      <c r="H702" s="450"/>
      <c r="I702" s="450"/>
      <c r="J702" s="450"/>
      <c r="K702" s="647"/>
      <c r="L702" s="707"/>
      <c r="M702" s="707"/>
      <c r="N702" s="707"/>
      <c r="O702" s="707"/>
      <c r="P702" s="707"/>
      <c r="Q702" s="707"/>
      <c r="R702" s="707"/>
      <c r="S702" s="707"/>
      <c r="T702" s="707"/>
      <c r="U702" s="707"/>
      <c r="V702" s="708"/>
      <c r="W702" s="644"/>
    </row>
    <row r="703" spans="1:23" ht="22.5" customHeight="1" thickTop="1" thickBot="1" x14ac:dyDescent="0.3">
      <c r="A703" s="451"/>
      <c r="B703" s="450"/>
      <c r="C703" s="450"/>
      <c r="D703" s="450"/>
      <c r="E703" s="450"/>
      <c r="F703" s="450"/>
      <c r="G703" s="450"/>
      <c r="H703" s="450"/>
      <c r="I703" s="450"/>
      <c r="J703" s="450"/>
      <c r="K703" s="647"/>
      <c r="L703" s="707"/>
      <c r="M703" s="707"/>
      <c r="N703" s="707"/>
      <c r="O703" s="707"/>
      <c r="P703" s="707"/>
      <c r="Q703" s="707"/>
      <c r="R703" s="707"/>
      <c r="S703" s="707"/>
      <c r="T703" s="707"/>
      <c r="U703" s="707"/>
      <c r="V703" s="708"/>
      <c r="W703" s="644"/>
    </row>
    <row r="704" spans="1:23" ht="22.5" customHeight="1" thickTop="1" thickBot="1" x14ac:dyDescent="0.3">
      <c r="A704" s="451"/>
      <c r="B704" s="450"/>
      <c r="C704" s="450"/>
      <c r="D704" s="450"/>
      <c r="E704" s="450"/>
      <c r="F704" s="450"/>
      <c r="G704" s="450"/>
      <c r="H704" s="450"/>
      <c r="I704" s="450"/>
      <c r="J704" s="450"/>
      <c r="K704" s="647"/>
      <c r="L704" s="707"/>
      <c r="M704" s="707"/>
      <c r="N704" s="707"/>
      <c r="O704" s="707"/>
      <c r="P704" s="707"/>
      <c r="Q704" s="707"/>
      <c r="R704" s="707"/>
      <c r="S704" s="707"/>
      <c r="T704" s="707"/>
      <c r="U704" s="707"/>
      <c r="V704" s="708"/>
      <c r="W704" s="644"/>
    </row>
    <row r="705" spans="1:23" ht="22.5" customHeight="1" thickTop="1" thickBot="1" x14ac:dyDescent="0.3">
      <c r="A705" s="451"/>
      <c r="B705" s="450"/>
      <c r="C705" s="450"/>
      <c r="D705" s="450"/>
      <c r="E705" s="450"/>
      <c r="F705" s="450"/>
      <c r="G705" s="450"/>
      <c r="H705" s="450"/>
      <c r="I705" s="450"/>
      <c r="J705" s="450"/>
      <c r="K705" s="647"/>
      <c r="L705" s="707"/>
      <c r="M705" s="707"/>
      <c r="N705" s="707"/>
      <c r="O705" s="707"/>
      <c r="P705" s="707"/>
      <c r="Q705" s="707"/>
      <c r="R705" s="707"/>
      <c r="S705" s="707"/>
      <c r="T705" s="707"/>
      <c r="U705" s="707"/>
      <c r="V705" s="708"/>
      <c r="W705" s="644"/>
    </row>
    <row r="706" spans="1:23" ht="22.5" customHeight="1" thickTop="1" thickBot="1" x14ac:dyDescent="0.3">
      <c r="A706" s="451"/>
      <c r="B706" s="450"/>
      <c r="C706" s="450"/>
      <c r="D706" s="450"/>
      <c r="E706" s="450"/>
      <c r="F706" s="450"/>
      <c r="G706" s="450"/>
      <c r="H706" s="450"/>
      <c r="I706" s="450"/>
      <c r="J706" s="450"/>
      <c r="K706" s="647"/>
      <c r="L706" s="707"/>
      <c r="M706" s="707"/>
      <c r="N706" s="707"/>
      <c r="O706" s="707"/>
      <c r="P706" s="707"/>
      <c r="Q706" s="707"/>
      <c r="R706" s="707"/>
      <c r="S706" s="707"/>
      <c r="T706" s="707"/>
      <c r="U706" s="707"/>
      <c r="V706" s="708"/>
      <c r="W706" s="644"/>
    </row>
    <row r="707" spans="1:23" ht="22.5" customHeight="1" thickTop="1" thickBot="1" x14ac:dyDescent="0.3">
      <c r="A707" s="451"/>
      <c r="B707" s="450"/>
      <c r="C707" s="450"/>
      <c r="D707" s="450"/>
      <c r="E707" s="450"/>
      <c r="F707" s="450"/>
      <c r="G707" s="450"/>
      <c r="H707" s="450"/>
      <c r="I707" s="450"/>
      <c r="J707" s="450"/>
      <c r="K707" s="647"/>
      <c r="L707" s="707"/>
      <c r="M707" s="707"/>
      <c r="N707" s="707"/>
      <c r="O707" s="707"/>
      <c r="P707" s="707"/>
      <c r="Q707" s="707"/>
      <c r="R707" s="707"/>
      <c r="S707" s="707"/>
      <c r="T707" s="707"/>
      <c r="U707" s="707"/>
      <c r="V707" s="708"/>
      <c r="W707" s="644"/>
    </row>
    <row r="708" spans="1:23" ht="22.5" customHeight="1" thickTop="1" thickBot="1" x14ac:dyDescent="0.3">
      <c r="A708" s="451"/>
      <c r="B708" s="450"/>
      <c r="C708" s="450"/>
      <c r="D708" s="450"/>
      <c r="E708" s="450"/>
      <c r="F708" s="450"/>
      <c r="G708" s="450"/>
      <c r="H708" s="450"/>
      <c r="I708" s="450"/>
      <c r="J708" s="450"/>
      <c r="K708" s="647"/>
      <c r="L708" s="707"/>
      <c r="M708" s="707"/>
      <c r="N708" s="707"/>
      <c r="O708" s="707"/>
      <c r="P708" s="707"/>
      <c r="Q708" s="707"/>
      <c r="R708" s="707"/>
      <c r="S708" s="707"/>
      <c r="T708" s="707"/>
      <c r="U708" s="707"/>
      <c r="V708" s="708"/>
      <c r="W708" s="644"/>
    </row>
    <row r="709" spans="1:23" ht="22.5" customHeight="1" thickTop="1" thickBot="1" x14ac:dyDescent="0.3">
      <c r="A709" s="451"/>
      <c r="B709" s="450"/>
      <c r="C709" s="450"/>
      <c r="D709" s="450"/>
      <c r="E709" s="450"/>
      <c r="F709" s="450"/>
      <c r="G709" s="450"/>
      <c r="H709" s="450"/>
      <c r="I709" s="450"/>
      <c r="J709" s="450"/>
      <c r="K709" s="647"/>
      <c r="L709" s="707"/>
      <c r="M709" s="707"/>
      <c r="N709" s="707"/>
      <c r="O709" s="707"/>
      <c r="P709" s="707"/>
      <c r="Q709" s="707"/>
      <c r="R709" s="707"/>
      <c r="S709" s="707"/>
      <c r="T709" s="707"/>
      <c r="U709" s="707"/>
      <c r="V709" s="708"/>
      <c r="W709" s="644"/>
    </row>
    <row r="710" spans="1:23" ht="22.5" customHeight="1" thickTop="1" thickBot="1" x14ac:dyDescent="0.3">
      <c r="A710" s="451"/>
      <c r="B710" s="450"/>
      <c r="C710" s="450"/>
      <c r="D710" s="450"/>
      <c r="E710" s="450"/>
      <c r="F710" s="450"/>
      <c r="G710" s="450"/>
      <c r="H710" s="450"/>
      <c r="I710" s="450"/>
      <c r="J710" s="450"/>
      <c r="K710" s="647"/>
      <c r="L710" s="707"/>
      <c r="M710" s="707"/>
      <c r="N710" s="707"/>
      <c r="O710" s="707"/>
      <c r="P710" s="707"/>
      <c r="Q710" s="707"/>
      <c r="R710" s="707"/>
      <c r="S710" s="707"/>
      <c r="T710" s="707"/>
      <c r="U710" s="707"/>
      <c r="V710" s="708"/>
      <c r="W710" s="644"/>
    </row>
    <row r="711" spans="1:23" ht="22.5" customHeight="1" thickTop="1" thickBot="1" x14ac:dyDescent="0.3">
      <c r="A711" s="451"/>
      <c r="B711" s="450"/>
      <c r="C711" s="450"/>
      <c r="D711" s="450"/>
      <c r="E711" s="450"/>
      <c r="F711" s="450"/>
      <c r="G711" s="450"/>
      <c r="H711" s="450"/>
      <c r="I711" s="450"/>
      <c r="J711" s="450"/>
      <c r="K711" s="647"/>
      <c r="L711" s="707"/>
      <c r="M711" s="707"/>
      <c r="N711" s="707"/>
      <c r="O711" s="707"/>
      <c r="P711" s="707"/>
      <c r="Q711" s="707"/>
      <c r="R711" s="707"/>
      <c r="S711" s="707"/>
      <c r="T711" s="707"/>
      <c r="U711" s="707"/>
      <c r="V711" s="708"/>
      <c r="W711" s="644"/>
    </row>
    <row r="712" spans="1:23" ht="22.5" customHeight="1" thickTop="1" thickBot="1" x14ac:dyDescent="0.3">
      <c r="A712" s="451"/>
      <c r="B712" s="450"/>
      <c r="C712" s="450"/>
      <c r="D712" s="450"/>
      <c r="E712" s="450"/>
      <c r="F712" s="450"/>
      <c r="G712" s="450"/>
      <c r="H712" s="450"/>
      <c r="I712" s="450"/>
      <c r="J712" s="450"/>
      <c r="K712" s="647"/>
      <c r="L712" s="707"/>
      <c r="M712" s="707"/>
      <c r="N712" s="707"/>
      <c r="O712" s="707"/>
      <c r="P712" s="707"/>
      <c r="Q712" s="707"/>
      <c r="R712" s="707"/>
      <c r="S712" s="707"/>
      <c r="T712" s="707"/>
      <c r="U712" s="707"/>
      <c r="V712" s="708"/>
      <c r="W712" s="644"/>
    </row>
    <row r="713" spans="1:23" ht="22.5" customHeight="1" thickTop="1" thickBot="1" x14ac:dyDescent="0.3">
      <c r="A713" s="450"/>
      <c r="B713" s="450"/>
      <c r="C713" s="450"/>
      <c r="D713" s="450"/>
      <c r="E713" s="450"/>
      <c r="F713" s="450"/>
      <c r="G713" s="450"/>
      <c r="H713" s="450"/>
      <c r="I713" s="450"/>
      <c r="J713" s="450"/>
      <c r="K713" s="647"/>
      <c r="L713" s="707"/>
      <c r="M713" s="707"/>
      <c r="N713" s="707"/>
      <c r="O713" s="707"/>
      <c r="P713" s="707"/>
      <c r="Q713" s="707"/>
      <c r="R713" s="707"/>
      <c r="S713" s="707"/>
      <c r="T713" s="707"/>
      <c r="U713" s="707"/>
      <c r="V713" s="708"/>
      <c r="W713" s="644"/>
    </row>
    <row r="714" spans="1:23" ht="22.5" customHeight="1" thickTop="1" thickBot="1" x14ac:dyDescent="0.3">
      <c r="A714" s="451"/>
      <c r="B714" s="450"/>
      <c r="C714" s="450"/>
      <c r="D714" s="450"/>
      <c r="E714" s="450"/>
      <c r="F714" s="450"/>
      <c r="G714" s="450"/>
      <c r="H714" s="450"/>
      <c r="I714" s="450"/>
      <c r="J714" s="450"/>
      <c r="K714" s="647"/>
      <c r="L714" s="707"/>
      <c r="M714" s="707"/>
      <c r="N714" s="707"/>
      <c r="O714" s="707"/>
      <c r="P714" s="707"/>
      <c r="Q714" s="707"/>
      <c r="R714" s="707"/>
      <c r="S714" s="707"/>
      <c r="T714" s="707"/>
      <c r="U714" s="707"/>
      <c r="V714" s="708"/>
      <c r="W714" s="644"/>
    </row>
    <row r="715" spans="1:23" ht="22.5" customHeight="1" thickTop="1" thickBot="1" x14ac:dyDescent="0.3">
      <c r="A715" s="451"/>
      <c r="B715" s="450"/>
      <c r="C715" s="450"/>
      <c r="D715" s="450"/>
      <c r="E715" s="450"/>
      <c r="F715" s="450"/>
      <c r="G715" s="450"/>
      <c r="H715" s="450"/>
      <c r="I715" s="450"/>
      <c r="J715" s="450"/>
      <c r="K715" s="647"/>
      <c r="L715" s="707"/>
      <c r="M715" s="707"/>
      <c r="N715" s="707"/>
      <c r="O715" s="707"/>
      <c r="P715" s="707"/>
      <c r="Q715" s="707"/>
      <c r="R715" s="707"/>
      <c r="S715" s="707"/>
      <c r="T715" s="707"/>
      <c r="U715" s="707"/>
      <c r="V715" s="708"/>
      <c r="W715" s="644"/>
    </row>
    <row r="716" spans="1:23" ht="22.5" customHeight="1" thickTop="1" thickBot="1" x14ac:dyDescent="0.3">
      <c r="A716" s="451"/>
      <c r="B716" s="450"/>
      <c r="C716" s="450"/>
      <c r="D716" s="450"/>
      <c r="E716" s="450"/>
      <c r="F716" s="450"/>
      <c r="G716" s="450"/>
      <c r="H716" s="450"/>
      <c r="I716" s="450"/>
      <c r="J716" s="450"/>
      <c r="K716" s="647"/>
      <c r="L716" s="707"/>
      <c r="M716" s="707"/>
      <c r="N716" s="707"/>
      <c r="O716" s="707"/>
      <c r="P716" s="707"/>
      <c r="Q716" s="707"/>
      <c r="R716" s="707"/>
      <c r="S716" s="707"/>
      <c r="T716" s="707"/>
      <c r="U716" s="707"/>
      <c r="V716" s="708"/>
      <c r="W716" s="644"/>
    </row>
    <row r="717" spans="1:23" ht="22.5" customHeight="1" thickTop="1" thickBot="1" x14ac:dyDescent="0.3">
      <c r="A717" s="451"/>
      <c r="B717" s="450"/>
      <c r="C717" s="450"/>
      <c r="D717" s="450"/>
      <c r="E717" s="450"/>
      <c r="F717" s="450"/>
      <c r="G717" s="450"/>
      <c r="H717" s="450"/>
      <c r="I717" s="450"/>
      <c r="J717" s="450"/>
      <c r="K717" s="647"/>
      <c r="L717" s="707"/>
      <c r="M717" s="707"/>
      <c r="N717" s="707"/>
      <c r="O717" s="707"/>
      <c r="P717" s="707"/>
      <c r="Q717" s="707"/>
      <c r="R717" s="707"/>
      <c r="S717" s="707"/>
      <c r="T717" s="707"/>
      <c r="U717" s="707"/>
      <c r="V717" s="708"/>
      <c r="W717" s="644"/>
    </row>
    <row r="718" spans="1:23" ht="22.5" customHeight="1" thickTop="1" thickBot="1" x14ac:dyDescent="0.3">
      <c r="A718" s="451"/>
      <c r="B718" s="450"/>
      <c r="C718" s="450"/>
      <c r="D718" s="450"/>
      <c r="E718" s="450"/>
      <c r="F718" s="450"/>
      <c r="G718" s="450"/>
      <c r="H718" s="450"/>
      <c r="I718" s="450"/>
      <c r="J718" s="450"/>
      <c r="K718" s="647"/>
      <c r="L718" s="707"/>
      <c r="M718" s="707"/>
      <c r="N718" s="707"/>
      <c r="O718" s="707"/>
      <c r="P718" s="707"/>
      <c r="Q718" s="707"/>
      <c r="R718" s="707"/>
      <c r="S718" s="707"/>
      <c r="T718" s="707"/>
      <c r="U718" s="707"/>
      <c r="V718" s="708"/>
      <c r="W718" s="644"/>
    </row>
    <row r="719" spans="1:23" ht="22.5" customHeight="1" thickTop="1" thickBot="1" x14ac:dyDescent="0.3">
      <c r="A719" s="451"/>
      <c r="B719" s="450"/>
      <c r="C719" s="450"/>
      <c r="D719" s="450"/>
      <c r="E719" s="450"/>
      <c r="F719" s="450"/>
      <c r="G719" s="450"/>
      <c r="H719" s="450"/>
      <c r="I719" s="450"/>
      <c r="J719" s="450"/>
      <c r="K719" s="647"/>
      <c r="L719" s="707"/>
      <c r="M719" s="707"/>
      <c r="N719" s="707"/>
      <c r="O719" s="707"/>
      <c r="P719" s="707"/>
      <c r="Q719" s="707"/>
      <c r="R719" s="707"/>
      <c r="S719" s="707"/>
      <c r="T719" s="707"/>
      <c r="U719" s="707"/>
      <c r="V719" s="708"/>
      <c r="W719" s="644"/>
    </row>
    <row r="720" spans="1:23" ht="22.5" customHeight="1" thickTop="1" thickBot="1" x14ac:dyDescent="0.3">
      <c r="A720" s="451"/>
      <c r="B720" s="450"/>
      <c r="C720" s="450"/>
      <c r="D720" s="450"/>
      <c r="E720" s="450"/>
      <c r="F720" s="450"/>
      <c r="G720" s="450"/>
      <c r="H720" s="450"/>
      <c r="I720" s="450"/>
      <c r="J720" s="450"/>
      <c r="K720" s="647"/>
      <c r="L720" s="707"/>
      <c r="M720" s="707"/>
      <c r="N720" s="707"/>
      <c r="O720" s="707"/>
      <c r="P720" s="707"/>
      <c r="Q720" s="707"/>
      <c r="R720" s="707"/>
      <c r="S720" s="707"/>
      <c r="T720" s="707"/>
      <c r="U720" s="707"/>
      <c r="V720" s="708"/>
      <c r="W720" s="644"/>
    </row>
    <row r="721" spans="1:23" ht="22.5" customHeight="1" thickTop="1" thickBot="1" x14ac:dyDescent="0.3">
      <c r="A721" s="451"/>
      <c r="B721" s="450"/>
      <c r="C721" s="450"/>
      <c r="D721" s="450"/>
      <c r="E721" s="450"/>
      <c r="F721" s="450"/>
      <c r="G721" s="450"/>
      <c r="H721" s="450"/>
      <c r="I721" s="450"/>
      <c r="J721" s="450"/>
      <c r="K721" s="647"/>
      <c r="L721" s="707"/>
      <c r="M721" s="707"/>
      <c r="N721" s="707"/>
      <c r="O721" s="707"/>
      <c r="P721" s="707"/>
      <c r="Q721" s="707"/>
      <c r="R721" s="707"/>
      <c r="S721" s="707"/>
      <c r="T721" s="707"/>
      <c r="U721" s="707"/>
      <c r="V721" s="708"/>
      <c r="W721" s="644"/>
    </row>
    <row r="722" spans="1:23" ht="22.5" customHeight="1" thickTop="1" thickBot="1" x14ac:dyDescent="0.3">
      <c r="A722" s="451"/>
      <c r="B722" s="450"/>
      <c r="C722" s="450"/>
      <c r="D722" s="450"/>
      <c r="E722" s="450"/>
      <c r="F722" s="450"/>
      <c r="G722" s="450"/>
      <c r="H722" s="450"/>
      <c r="I722" s="450"/>
      <c r="J722" s="450"/>
      <c r="K722" s="647"/>
      <c r="L722" s="707"/>
      <c r="M722" s="707"/>
      <c r="N722" s="707"/>
      <c r="O722" s="707"/>
      <c r="P722" s="707"/>
      <c r="Q722" s="707"/>
      <c r="R722" s="707"/>
      <c r="S722" s="707"/>
      <c r="T722" s="707"/>
      <c r="U722" s="707"/>
      <c r="V722" s="708"/>
      <c r="W722" s="644"/>
    </row>
    <row r="723" spans="1:23" ht="22.5" customHeight="1" thickTop="1" thickBot="1" x14ac:dyDescent="0.3">
      <c r="A723" s="451"/>
      <c r="B723" s="450"/>
      <c r="C723" s="450"/>
      <c r="D723" s="450"/>
      <c r="E723" s="450"/>
      <c r="F723" s="450"/>
      <c r="G723" s="450"/>
      <c r="H723" s="450"/>
      <c r="I723" s="450"/>
      <c r="J723" s="450"/>
      <c r="K723" s="647"/>
      <c r="L723" s="707"/>
      <c r="M723" s="707"/>
      <c r="N723" s="707"/>
      <c r="O723" s="707"/>
      <c r="P723" s="707"/>
      <c r="Q723" s="707"/>
      <c r="R723" s="707"/>
      <c r="S723" s="707"/>
      <c r="T723" s="707"/>
      <c r="U723" s="707"/>
      <c r="V723" s="708"/>
      <c r="W723" s="644"/>
    </row>
    <row r="724" spans="1:23" ht="22.5" customHeight="1" thickTop="1" thickBot="1" x14ac:dyDescent="0.3">
      <c r="A724" s="451"/>
      <c r="B724" s="450"/>
      <c r="C724" s="450"/>
      <c r="D724" s="450"/>
      <c r="E724" s="450"/>
      <c r="F724" s="450"/>
      <c r="G724" s="450"/>
      <c r="H724" s="450"/>
      <c r="I724" s="450"/>
      <c r="J724" s="450"/>
      <c r="K724" s="647"/>
      <c r="L724" s="707"/>
      <c r="M724" s="707"/>
      <c r="N724" s="707"/>
      <c r="O724" s="707"/>
      <c r="P724" s="707"/>
      <c r="Q724" s="707"/>
      <c r="R724" s="707"/>
      <c r="S724" s="707"/>
      <c r="T724" s="707"/>
      <c r="U724" s="707"/>
      <c r="V724" s="708"/>
      <c r="W724" s="644"/>
    </row>
    <row r="725" spans="1:23" ht="22.5" customHeight="1" thickTop="1" thickBot="1" x14ac:dyDescent="0.3">
      <c r="A725" s="451"/>
      <c r="B725" s="450"/>
      <c r="C725" s="450"/>
      <c r="D725" s="450"/>
      <c r="E725" s="450"/>
      <c r="F725" s="450"/>
      <c r="G725" s="450"/>
      <c r="H725" s="450"/>
      <c r="I725" s="450"/>
      <c r="J725" s="450"/>
      <c r="K725" s="647"/>
      <c r="L725" s="707"/>
      <c r="M725" s="707"/>
      <c r="N725" s="707"/>
      <c r="O725" s="707"/>
      <c r="P725" s="707"/>
      <c r="Q725" s="707"/>
      <c r="R725" s="707"/>
      <c r="S725" s="707"/>
      <c r="T725" s="707"/>
      <c r="U725" s="707"/>
      <c r="V725" s="708"/>
      <c r="W725" s="644"/>
    </row>
    <row r="726" spans="1:23" ht="22.5" customHeight="1" thickTop="1" thickBot="1" x14ac:dyDescent="0.3">
      <c r="A726" s="451"/>
      <c r="B726" s="450"/>
      <c r="C726" s="450"/>
      <c r="D726" s="450"/>
      <c r="E726" s="450"/>
      <c r="F726" s="450"/>
      <c r="G726" s="450"/>
      <c r="H726" s="450"/>
      <c r="I726" s="450"/>
      <c r="J726" s="450"/>
      <c r="K726" s="647"/>
      <c r="L726" s="707"/>
      <c r="M726" s="707"/>
      <c r="N726" s="707"/>
      <c r="O726" s="707"/>
      <c r="P726" s="707"/>
      <c r="Q726" s="707"/>
      <c r="R726" s="707"/>
      <c r="S726" s="707"/>
      <c r="T726" s="707"/>
      <c r="U726" s="707"/>
      <c r="V726" s="708"/>
      <c r="W726" s="644"/>
    </row>
    <row r="727" spans="1:23" ht="22.5" customHeight="1" thickTop="1" thickBot="1" x14ac:dyDescent="0.3">
      <c r="A727" s="451"/>
      <c r="B727" s="450"/>
      <c r="C727" s="450"/>
      <c r="D727" s="450"/>
      <c r="E727" s="450"/>
      <c r="F727" s="450"/>
      <c r="G727" s="450"/>
      <c r="H727" s="450"/>
      <c r="I727" s="450"/>
      <c r="J727" s="450"/>
      <c r="K727" s="647"/>
      <c r="L727" s="707"/>
      <c r="M727" s="707"/>
      <c r="N727" s="707"/>
      <c r="O727" s="707"/>
      <c r="P727" s="707"/>
      <c r="Q727" s="707"/>
      <c r="R727" s="707"/>
      <c r="S727" s="707"/>
      <c r="T727" s="707"/>
      <c r="U727" s="707"/>
      <c r="V727" s="708"/>
      <c r="W727" s="644"/>
    </row>
    <row r="728" spans="1:23" ht="22.5" customHeight="1" thickTop="1" thickBot="1" x14ac:dyDescent="0.3">
      <c r="A728" s="451"/>
      <c r="B728" s="450"/>
      <c r="C728" s="450"/>
      <c r="D728" s="450"/>
      <c r="E728" s="450"/>
      <c r="F728" s="450"/>
      <c r="G728" s="450"/>
      <c r="H728" s="450"/>
      <c r="I728" s="450"/>
      <c r="J728" s="450"/>
      <c r="K728" s="647"/>
      <c r="L728" s="707"/>
      <c r="M728" s="707"/>
      <c r="N728" s="707"/>
      <c r="O728" s="707"/>
      <c r="P728" s="707"/>
      <c r="Q728" s="707"/>
      <c r="R728" s="707"/>
      <c r="S728" s="707"/>
      <c r="T728" s="707"/>
      <c r="U728" s="707"/>
      <c r="V728" s="708"/>
      <c r="W728" s="644"/>
    </row>
    <row r="729" spans="1:23" ht="22.5" customHeight="1" thickTop="1" thickBot="1" x14ac:dyDescent="0.3">
      <c r="A729" s="451"/>
      <c r="B729" s="450"/>
      <c r="C729" s="450"/>
      <c r="D729" s="450"/>
      <c r="E729" s="450"/>
      <c r="F729" s="450"/>
      <c r="G729" s="450"/>
      <c r="H729" s="450"/>
      <c r="I729" s="450"/>
      <c r="J729" s="450"/>
      <c r="K729" s="647"/>
      <c r="L729" s="707"/>
      <c r="M729" s="707"/>
      <c r="N729" s="707"/>
      <c r="O729" s="707"/>
      <c r="P729" s="707"/>
      <c r="Q729" s="707"/>
      <c r="R729" s="707"/>
      <c r="S729" s="707"/>
      <c r="T729" s="707"/>
      <c r="U729" s="707"/>
      <c r="V729" s="708"/>
      <c r="W729" s="644"/>
    </row>
    <row r="730" spans="1:23" ht="22.5" customHeight="1" thickTop="1" thickBot="1" x14ac:dyDescent="0.3">
      <c r="A730" s="451"/>
      <c r="B730" s="450"/>
      <c r="C730" s="450"/>
      <c r="D730" s="450"/>
      <c r="E730" s="450"/>
      <c r="F730" s="450"/>
      <c r="G730" s="450"/>
      <c r="H730" s="450"/>
      <c r="I730" s="450"/>
      <c r="J730" s="450"/>
      <c r="K730" s="647"/>
      <c r="L730" s="707"/>
      <c r="M730" s="707"/>
      <c r="N730" s="707"/>
      <c r="O730" s="707"/>
      <c r="P730" s="707"/>
      <c r="Q730" s="707"/>
      <c r="R730" s="707"/>
      <c r="S730" s="707"/>
      <c r="T730" s="707"/>
      <c r="U730" s="707"/>
      <c r="V730" s="708"/>
      <c r="W730" s="644"/>
    </row>
    <row r="731" spans="1:23" ht="22.5" customHeight="1" thickTop="1" thickBot="1" x14ac:dyDescent="0.3">
      <c r="A731" s="451"/>
      <c r="B731" s="450"/>
      <c r="C731" s="450"/>
      <c r="D731" s="450"/>
      <c r="E731" s="450"/>
      <c r="F731" s="450"/>
      <c r="G731" s="450"/>
      <c r="H731" s="450"/>
      <c r="I731" s="450"/>
      <c r="J731" s="450"/>
      <c r="K731" s="647"/>
      <c r="L731" s="707"/>
      <c r="M731" s="707"/>
      <c r="N731" s="707"/>
      <c r="O731" s="707"/>
      <c r="P731" s="707"/>
      <c r="Q731" s="707"/>
      <c r="R731" s="707"/>
      <c r="S731" s="707"/>
      <c r="T731" s="707"/>
      <c r="U731" s="707"/>
      <c r="V731" s="708"/>
      <c r="W731" s="644"/>
    </row>
    <row r="732" spans="1:23" ht="22.5" customHeight="1" thickTop="1" thickBot="1" x14ac:dyDescent="0.3">
      <c r="A732" s="451"/>
      <c r="B732" s="450"/>
      <c r="C732" s="450"/>
      <c r="D732" s="450"/>
      <c r="E732" s="450"/>
      <c r="F732" s="450"/>
      <c r="G732" s="450"/>
      <c r="H732" s="450"/>
      <c r="I732" s="450"/>
      <c r="J732" s="450"/>
      <c r="K732" s="647"/>
      <c r="L732" s="707"/>
      <c r="M732" s="707"/>
      <c r="N732" s="707"/>
      <c r="O732" s="707"/>
      <c r="P732" s="707"/>
      <c r="Q732" s="707"/>
      <c r="R732" s="707"/>
      <c r="S732" s="707"/>
      <c r="T732" s="707"/>
      <c r="U732" s="707"/>
      <c r="V732" s="708"/>
      <c r="W732" s="644"/>
    </row>
    <row r="733" spans="1:23" ht="22.5" customHeight="1" thickTop="1" thickBot="1" x14ac:dyDescent="0.3">
      <c r="A733" s="451"/>
      <c r="B733" s="450"/>
      <c r="C733" s="450"/>
      <c r="D733" s="450"/>
      <c r="E733" s="450"/>
      <c r="F733" s="450"/>
      <c r="G733" s="450"/>
      <c r="H733" s="450"/>
      <c r="I733" s="450"/>
      <c r="J733" s="450"/>
      <c r="K733" s="647"/>
      <c r="L733" s="707"/>
      <c r="M733" s="707"/>
      <c r="N733" s="707"/>
      <c r="O733" s="707"/>
      <c r="P733" s="707"/>
      <c r="Q733" s="707"/>
      <c r="R733" s="707"/>
      <c r="S733" s="707"/>
      <c r="T733" s="707"/>
      <c r="U733" s="707"/>
      <c r="V733" s="708"/>
      <c r="W733" s="644"/>
    </row>
    <row r="734" spans="1:23" ht="22.5" customHeight="1" thickTop="1" thickBot="1" x14ac:dyDescent="0.3">
      <c r="A734" s="451"/>
      <c r="B734" s="450"/>
      <c r="C734" s="450"/>
      <c r="D734" s="450"/>
      <c r="E734" s="450"/>
      <c r="F734" s="450"/>
      <c r="G734" s="450"/>
      <c r="H734" s="450"/>
      <c r="I734" s="450"/>
      <c r="J734" s="450"/>
      <c r="K734" s="647"/>
      <c r="L734" s="707"/>
      <c r="M734" s="707"/>
      <c r="N734" s="707"/>
      <c r="O734" s="707"/>
      <c r="P734" s="707"/>
      <c r="Q734" s="707"/>
      <c r="R734" s="707"/>
      <c r="S734" s="707"/>
      <c r="T734" s="707"/>
      <c r="U734" s="707"/>
      <c r="V734" s="708"/>
      <c r="W734" s="644"/>
    </row>
    <row r="735" spans="1:23" ht="22.5" customHeight="1" thickTop="1" thickBot="1" x14ac:dyDescent="0.3">
      <c r="A735" s="451"/>
      <c r="B735" s="450"/>
      <c r="C735" s="450"/>
      <c r="D735" s="450"/>
      <c r="E735" s="450"/>
      <c r="F735" s="450"/>
      <c r="G735" s="450"/>
      <c r="H735" s="450"/>
      <c r="I735" s="450"/>
      <c r="J735" s="450"/>
      <c r="K735" s="647"/>
      <c r="L735" s="707"/>
      <c r="M735" s="707"/>
      <c r="N735" s="707"/>
      <c r="O735" s="707"/>
      <c r="P735" s="707"/>
      <c r="Q735" s="707"/>
      <c r="R735" s="707"/>
      <c r="S735" s="707"/>
      <c r="T735" s="707"/>
      <c r="U735" s="707"/>
      <c r="V735" s="708"/>
      <c r="W735" s="644"/>
    </row>
    <row r="736" spans="1:23" ht="22.5" customHeight="1" thickTop="1" thickBot="1" x14ac:dyDescent="0.3">
      <c r="A736" s="451"/>
      <c r="B736" s="450"/>
      <c r="C736" s="450"/>
      <c r="D736" s="450"/>
      <c r="E736" s="450"/>
      <c r="F736" s="450"/>
      <c r="G736" s="450"/>
      <c r="H736" s="450"/>
      <c r="I736" s="450"/>
      <c r="J736" s="450"/>
      <c r="K736" s="647"/>
      <c r="L736" s="707"/>
      <c r="M736" s="707"/>
      <c r="N736" s="707"/>
      <c r="O736" s="707"/>
      <c r="P736" s="707"/>
      <c r="Q736" s="707"/>
      <c r="R736" s="707"/>
      <c r="S736" s="707"/>
      <c r="T736" s="707"/>
      <c r="U736" s="707"/>
      <c r="V736" s="708"/>
      <c r="W736" s="644"/>
    </row>
    <row r="737" spans="1:23" ht="22.5" customHeight="1" thickTop="1" thickBot="1" x14ac:dyDescent="0.3">
      <c r="A737" s="451"/>
      <c r="B737" s="450"/>
      <c r="C737" s="450"/>
      <c r="D737" s="450"/>
      <c r="E737" s="450"/>
      <c r="F737" s="450"/>
      <c r="G737" s="450"/>
      <c r="H737" s="450"/>
      <c r="I737" s="450"/>
      <c r="J737" s="450"/>
      <c r="K737" s="647"/>
      <c r="L737" s="707"/>
      <c r="M737" s="707"/>
      <c r="N737" s="707"/>
      <c r="O737" s="707"/>
      <c r="P737" s="707"/>
      <c r="Q737" s="707"/>
      <c r="R737" s="707"/>
      <c r="S737" s="707"/>
      <c r="T737" s="707"/>
      <c r="U737" s="707"/>
      <c r="V737" s="708"/>
      <c r="W737" s="644"/>
    </row>
    <row r="738" spans="1:23" ht="22.5" customHeight="1" thickTop="1" thickBot="1" x14ac:dyDescent="0.3">
      <c r="A738" s="451"/>
      <c r="B738" s="450"/>
      <c r="C738" s="450"/>
      <c r="D738" s="450"/>
      <c r="E738" s="450"/>
      <c r="F738" s="450"/>
      <c r="G738" s="450"/>
      <c r="H738" s="450"/>
      <c r="I738" s="450"/>
      <c r="J738" s="450"/>
      <c r="K738" s="647"/>
      <c r="L738" s="707"/>
      <c r="M738" s="707"/>
      <c r="N738" s="707"/>
      <c r="O738" s="707"/>
      <c r="P738" s="707"/>
      <c r="Q738" s="707"/>
      <c r="R738" s="707"/>
      <c r="S738" s="707"/>
      <c r="T738" s="707"/>
      <c r="U738" s="707"/>
      <c r="V738" s="708"/>
      <c r="W738" s="644"/>
    </row>
    <row r="739" spans="1:23" ht="22.5" customHeight="1" thickTop="1" thickBot="1" x14ac:dyDescent="0.3">
      <c r="A739" s="451"/>
      <c r="B739" s="450"/>
      <c r="C739" s="450"/>
      <c r="D739" s="450"/>
      <c r="E739" s="450"/>
      <c r="F739" s="450"/>
      <c r="G739" s="450"/>
      <c r="H739" s="450"/>
      <c r="I739" s="450"/>
      <c r="J739" s="450"/>
      <c r="K739" s="647"/>
      <c r="L739" s="707"/>
      <c r="M739" s="707"/>
      <c r="N739" s="707"/>
      <c r="O739" s="707"/>
      <c r="P739" s="707"/>
      <c r="Q739" s="707"/>
      <c r="R739" s="707"/>
      <c r="S739" s="707"/>
      <c r="T739" s="707"/>
      <c r="U739" s="707"/>
      <c r="V739" s="708"/>
      <c r="W739" s="644"/>
    </row>
    <row r="740" spans="1:23" ht="22.5" customHeight="1" thickTop="1" thickBot="1" x14ac:dyDescent="0.3">
      <c r="A740" s="451"/>
      <c r="B740" s="450"/>
      <c r="C740" s="450"/>
      <c r="D740" s="450"/>
      <c r="E740" s="450"/>
      <c r="F740" s="450"/>
      <c r="G740" s="450"/>
      <c r="H740" s="450"/>
      <c r="I740" s="450"/>
      <c r="J740" s="450"/>
      <c r="K740" s="647"/>
      <c r="L740" s="707"/>
      <c r="M740" s="707"/>
      <c r="N740" s="707"/>
      <c r="O740" s="707"/>
      <c r="P740" s="707"/>
      <c r="Q740" s="707"/>
      <c r="R740" s="707"/>
      <c r="S740" s="707"/>
      <c r="T740" s="707"/>
      <c r="U740" s="707"/>
      <c r="V740" s="708"/>
      <c r="W740" s="644"/>
    </row>
    <row r="741" spans="1:23" ht="22.5" customHeight="1" thickTop="1" thickBot="1" x14ac:dyDescent="0.3">
      <c r="A741" s="451"/>
      <c r="B741" s="450"/>
      <c r="C741" s="450"/>
      <c r="D741" s="450"/>
      <c r="E741" s="450"/>
      <c r="F741" s="450"/>
      <c r="G741" s="450"/>
      <c r="H741" s="450"/>
      <c r="I741" s="450"/>
      <c r="J741" s="450"/>
      <c r="K741" s="647"/>
      <c r="L741" s="707"/>
      <c r="M741" s="707"/>
      <c r="N741" s="707"/>
      <c r="O741" s="707"/>
      <c r="P741" s="707"/>
      <c r="Q741" s="707"/>
      <c r="R741" s="707"/>
      <c r="S741" s="707"/>
      <c r="T741" s="707"/>
      <c r="U741" s="707"/>
      <c r="V741" s="708"/>
      <c r="W741" s="644"/>
    </row>
    <row r="742" spans="1:23" ht="22.5" customHeight="1" thickTop="1" thickBot="1" x14ac:dyDescent="0.3">
      <c r="A742" s="451"/>
      <c r="B742" s="450"/>
      <c r="C742" s="450"/>
      <c r="D742" s="450"/>
      <c r="E742" s="450"/>
      <c r="F742" s="450"/>
      <c r="G742" s="450"/>
      <c r="H742" s="450"/>
      <c r="I742" s="450"/>
      <c r="J742" s="450"/>
      <c r="K742" s="647"/>
      <c r="L742" s="707"/>
      <c r="M742" s="707"/>
      <c r="N742" s="707"/>
      <c r="O742" s="707"/>
      <c r="P742" s="707"/>
      <c r="Q742" s="707"/>
      <c r="R742" s="707"/>
      <c r="S742" s="707"/>
      <c r="T742" s="707"/>
      <c r="U742" s="707"/>
      <c r="V742" s="708"/>
      <c r="W742" s="644"/>
    </row>
    <row r="743" spans="1:23" ht="22.5" customHeight="1" thickTop="1" thickBot="1" x14ac:dyDescent="0.3">
      <c r="A743" s="451"/>
      <c r="B743" s="450"/>
      <c r="C743" s="450"/>
      <c r="D743" s="450"/>
      <c r="E743" s="450"/>
      <c r="F743" s="450"/>
      <c r="G743" s="450"/>
      <c r="H743" s="450"/>
      <c r="I743" s="450"/>
      <c r="J743" s="450"/>
      <c r="K743" s="647"/>
      <c r="L743" s="707"/>
      <c r="M743" s="707"/>
      <c r="N743" s="707"/>
      <c r="O743" s="707"/>
      <c r="P743" s="707"/>
      <c r="Q743" s="707"/>
      <c r="R743" s="707"/>
      <c r="S743" s="707"/>
      <c r="T743" s="707"/>
      <c r="U743" s="707"/>
      <c r="V743" s="708"/>
      <c r="W743" s="644"/>
    </row>
    <row r="744" spans="1:23" ht="22.5" customHeight="1" thickTop="1" thickBot="1" x14ac:dyDescent="0.3">
      <c r="A744" s="451"/>
      <c r="B744" s="450"/>
      <c r="C744" s="450"/>
      <c r="D744" s="450"/>
      <c r="E744" s="450"/>
      <c r="F744" s="450"/>
      <c r="G744" s="450"/>
      <c r="H744" s="450"/>
      <c r="I744" s="450"/>
      <c r="J744" s="450"/>
      <c r="K744" s="647"/>
      <c r="L744" s="707"/>
      <c r="M744" s="707"/>
      <c r="N744" s="707"/>
      <c r="O744" s="707"/>
      <c r="P744" s="707"/>
      <c r="Q744" s="707"/>
      <c r="R744" s="707"/>
      <c r="S744" s="707"/>
      <c r="T744" s="707"/>
      <c r="U744" s="707"/>
      <c r="V744" s="708"/>
      <c r="W744" s="644"/>
    </row>
    <row r="745" spans="1:23" ht="22.5" customHeight="1" thickTop="1" thickBot="1" x14ac:dyDescent="0.3">
      <c r="A745" s="451"/>
      <c r="B745" s="450"/>
      <c r="C745" s="450"/>
      <c r="D745" s="450"/>
      <c r="E745" s="450"/>
      <c r="F745" s="450"/>
      <c r="G745" s="450"/>
      <c r="H745" s="450"/>
      <c r="I745" s="450"/>
      <c r="J745" s="450"/>
      <c r="K745" s="647"/>
      <c r="L745" s="707"/>
      <c r="M745" s="707"/>
      <c r="N745" s="707"/>
      <c r="O745" s="707"/>
      <c r="P745" s="707"/>
      <c r="Q745" s="707"/>
      <c r="R745" s="707"/>
      <c r="S745" s="707"/>
      <c r="T745" s="707"/>
      <c r="U745" s="707"/>
      <c r="V745" s="708"/>
      <c r="W745" s="644"/>
    </row>
    <row r="746" spans="1:23" ht="22.5" customHeight="1" thickTop="1" thickBot="1" x14ac:dyDescent="0.3">
      <c r="A746" s="451"/>
      <c r="B746" s="450"/>
      <c r="C746" s="450"/>
      <c r="D746" s="450"/>
      <c r="E746" s="450"/>
      <c r="F746" s="450"/>
      <c r="G746" s="450"/>
      <c r="H746" s="450"/>
      <c r="I746" s="450"/>
      <c r="J746" s="450"/>
      <c r="K746" s="647"/>
      <c r="L746" s="707"/>
      <c r="M746" s="707"/>
      <c r="N746" s="707"/>
      <c r="O746" s="707"/>
      <c r="P746" s="707"/>
      <c r="Q746" s="707"/>
      <c r="R746" s="707"/>
      <c r="S746" s="707"/>
      <c r="T746" s="707"/>
      <c r="U746" s="707"/>
      <c r="V746" s="708"/>
      <c r="W746" s="644"/>
    </row>
    <row r="747" spans="1:23" ht="22.5" customHeight="1" thickTop="1" thickBot="1" x14ac:dyDescent="0.3">
      <c r="A747" s="451"/>
      <c r="B747" s="450"/>
      <c r="C747" s="450"/>
      <c r="D747" s="450"/>
      <c r="E747" s="450"/>
      <c r="F747" s="450"/>
      <c r="G747" s="450"/>
      <c r="H747" s="450"/>
      <c r="I747" s="450"/>
      <c r="J747" s="450"/>
      <c r="K747" s="647"/>
      <c r="L747" s="707"/>
      <c r="M747" s="707"/>
      <c r="N747" s="707"/>
      <c r="O747" s="707"/>
      <c r="P747" s="707"/>
      <c r="Q747" s="707"/>
      <c r="R747" s="707"/>
      <c r="S747" s="707"/>
      <c r="T747" s="707"/>
      <c r="U747" s="707"/>
      <c r="V747" s="708"/>
      <c r="W747" s="644"/>
    </row>
    <row r="748" spans="1:23" ht="22.5" customHeight="1" thickTop="1" thickBot="1" x14ac:dyDescent="0.3">
      <c r="A748" s="451"/>
      <c r="B748" s="450"/>
      <c r="C748" s="450"/>
      <c r="D748" s="450"/>
      <c r="E748" s="450"/>
      <c r="F748" s="450"/>
      <c r="G748" s="450"/>
      <c r="H748" s="450"/>
      <c r="I748" s="450"/>
      <c r="J748" s="450"/>
      <c r="K748" s="647"/>
      <c r="L748" s="707"/>
      <c r="M748" s="707"/>
      <c r="N748" s="707"/>
      <c r="O748" s="707"/>
      <c r="P748" s="707"/>
      <c r="Q748" s="707"/>
      <c r="R748" s="707"/>
      <c r="S748" s="707"/>
      <c r="T748" s="707"/>
      <c r="U748" s="707"/>
      <c r="V748" s="708"/>
      <c r="W748" s="644"/>
    </row>
    <row r="749" spans="1:23" ht="22.5" customHeight="1" thickTop="1" thickBot="1" x14ac:dyDescent="0.3">
      <c r="A749" s="451"/>
      <c r="B749" s="450"/>
      <c r="C749" s="450"/>
      <c r="D749" s="450"/>
      <c r="E749" s="450"/>
      <c r="F749" s="450"/>
      <c r="G749" s="450"/>
      <c r="H749" s="450"/>
      <c r="I749" s="450"/>
      <c r="J749" s="450"/>
      <c r="K749" s="647"/>
      <c r="L749" s="707"/>
      <c r="M749" s="707"/>
      <c r="N749" s="707"/>
      <c r="O749" s="707"/>
      <c r="P749" s="707"/>
      <c r="Q749" s="707"/>
      <c r="R749" s="707"/>
      <c r="S749" s="707"/>
      <c r="T749" s="707"/>
      <c r="U749" s="707"/>
      <c r="V749" s="708"/>
      <c r="W749" s="644"/>
    </row>
    <row r="750" spans="1:23" ht="22.5" customHeight="1" thickTop="1" thickBot="1" x14ac:dyDescent="0.3">
      <c r="A750" s="451"/>
      <c r="B750" s="450"/>
      <c r="C750" s="450"/>
      <c r="D750" s="450"/>
      <c r="E750" s="450"/>
      <c r="F750" s="450"/>
      <c r="G750" s="450"/>
      <c r="H750" s="450"/>
      <c r="I750" s="450"/>
      <c r="J750" s="450"/>
      <c r="K750" s="647"/>
      <c r="L750" s="707"/>
      <c r="M750" s="707"/>
      <c r="N750" s="707"/>
      <c r="O750" s="707"/>
      <c r="P750" s="707"/>
      <c r="Q750" s="707"/>
      <c r="R750" s="707"/>
      <c r="S750" s="707"/>
      <c r="T750" s="707"/>
      <c r="U750" s="707"/>
      <c r="V750" s="708"/>
      <c r="W750" s="644"/>
    </row>
    <row r="751" spans="1:23" ht="22.5" customHeight="1" thickTop="1" thickBot="1" x14ac:dyDescent="0.3">
      <c r="A751" s="451"/>
      <c r="B751" s="450"/>
      <c r="C751" s="450"/>
      <c r="D751" s="450"/>
      <c r="E751" s="450"/>
      <c r="F751" s="450"/>
      <c r="G751" s="450"/>
      <c r="H751" s="450"/>
      <c r="I751" s="450"/>
      <c r="J751" s="450"/>
      <c r="K751" s="647"/>
      <c r="L751" s="707"/>
      <c r="M751" s="707"/>
      <c r="N751" s="707"/>
      <c r="O751" s="707"/>
      <c r="P751" s="707"/>
      <c r="Q751" s="707"/>
      <c r="R751" s="707"/>
      <c r="S751" s="707"/>
      <c r="T751" s="707"/>
      <c r="U751" s="707"/>
      <c r="V751" s="708"/>
      <c r="W751" s="644"/>
    </row>
    <row r="752" spans="1:23" ht="22.5" customHeight="1" thickTop="1" thickBot="1" x14ac:dyDescent="0.3">
      <c r="A752" s="451"/>
      <c r="B752" s="450"/>
      <c r="C752" s="450"/>
      <c r="D752" s="450"/>
      <c r="E752" s="450"/>
      <c r="F752" s="450"/>
      <c r="G752" s="450"/>
      <c r="H752" s="450"/>
      <c r="I752" s="450"/>
      <c r="J752" s="450"/>
      <c r="K752" s="647"/>
      <c r="L752" s="707"/>
      <c r="M752" s="707"/>
      <c r="N752" s="707"/>
      <c r="O752" s="707"/>
      <c r="P752" s="707"/>
      <c r="Q752" s="707"/>
      <c r="R752" s="707"/>
      <c r="S752" s="707"/>
      <c r="T752" s="707"/>
      <c r="U752" s="707"/>
      <c r="V752" s="708"/>
      <c r="W752" s="644"/>
    </row>
    <row r="753" spans="1:23" ht="22.5" customHeight="1" thickTop="1" thickBot="1" x14ac:dyDescent="0.3">
      <c r="A753" s="451"/>
      <c r="B753" s="450"/>
      <c r="C753" s="450"/>
      <c r="D753" s="450"/>
      <c r="E753" s="450"/>
      <c r="F753" s="450"/>
      <c r="G753" s="450"/>
      <c r="H753" s="450"/>
      <c r="I753" s="450"/>
      <c r="J753" s="450"/>
      <c r="K753" s="647"/>
      <c r="L753" s="707"/>
      <c r="M753" s="707"/>
      <c r="N753" s="707"/>
      <c r="O753" s="707"/>
      <c r="P753" s="707"/>
      <c r="Q753" s="707"/>
      <c r="R753" s="707"/>
      <c r="S753" s="707"/>
      <c r="T753" s="707"/>
      <c r="U753" s="707"/>
      <c r="V753" s="708"/>
      <c r="W753" s="644"/>
    </row>
    <row r="754" spans="1:23" ht="22.5" customHeight="1" thickTop="1" thickBot="1" x14ac:dyDescent="0.3">
      <c r="A754" s="451"/>
      <c r="B754" s="450"/>
      <c r="C754" s="450"/>
      <c r="D754" s="450"/>
      <c r="E754" s="450"/>
      <c r="F754" s="450"/>
      <c r="G754" s="450"/>
      <c r="H754" s="450"/>
      <c r="I754" s="450"/>
      <c r="J754" s="450"/>
      <c r="K754" s="647"/>
      <c r="L754" s="707"/>
      <c r="M754" s="707"/>
      <c r="N754" s="707"/>
      <c r="O754" s="707"/>
      <c r="P754" s="707"/>
      <c r="Q754" s="707"/>
      <c r="R754" s="707"/>
      <c r="S754" s="707"/>
      <c r="T754" s="707"/>
      <c r="U754" s="707"/>
      <c r="V754" s="708"/>
      <c r="W754" s="644"/>
    </row>
    <row r="755" spans="1:23" ht="22.5" customHeight="1" thickTop="1" thickBot="1" x14ac:dyDescent="0.3">
      <c r="A755" s="451"/>
      <c r="B755" s="450"/>
      <c r="C755" s="450"/>
      <c r="D755" s="450"/>
      <c r="E755" s="450"/>
      <c r="F755" s="450"/>
      <c r="G755" s="450"/>
      <c r="H755" s="450"/>
      <c r="I755" s="450"/>
      <c r="J755" s="450"/>
      <c r="K755" s="647"/>
      <c r="L755" s="707"/>
      <c r="M755" s="707"/>
      <c r="N755" s="707"/>
      <c r="O755" s="707"/>
      <c r="P755" s="707"/>
      <c r="Q755" s="707"/>
      <c r="R755" s="707"/>
      <c r="S755" s="707"/>
      <c r="T755" s="707"/>
      <c r="U755" s="707"/>
      <c r="V755" s="708"/>
      <c r="W755" s="644"/>
    </row>
    <row r="756" spans="1:23" ht="22.5" customHeight="1" thickTop="1" thickBot="1" x14ac:dyDescent="0.3">
      <c r="A756" s="451"/>
      <c r="B756" s="450"/>
      <c r="C756" s="450"/>
      <c r="D756" s="450"/>
      <c r="E756" s="450"/>
      <c r="F756" s="450"/>
      <c r="G756" s="450"/>
      <c r="H756" s="450"/>
      <c r="I756" s="450"/>
      <c r="J756" s="450"/>
      <c r="K756" s="647"/>
      <c r="L756" s="707"/>
      <c r="M756" s="707"/>
      <c r="N756" s="707"/>
      <c r="O756" s="707"/>
      <c r="P756" s="707"/>
      <c r="Q756" s="707"/>
      <c r="R756" s="707"/>
      <c r="S756" s="707"/>
      <c r="T756" s="707"/>
      <c r="U756" s="707"/>
      <c r="V756" s="708"/>
      <c r="W756" s="644"/>
    </row>
    <row r="757" spans="1:23" ht="22.5" customHeight="1" thickTop="1" thickBot="1" x14ac:dyDescent="0.3">
      <c r="A757" s="451"/>
      <c r="B757" s="450"/>
      <c r="C757" s="450"/>
      <c r="D757" s="450"/>
      <c r="E757" s="450"/>
      <c r="F757" s="450"/>
      <c r="G757" s="450"/>
      <c r="H757" s="450"/>
      <c r="I757" s="450"/>
      <c r="J757" s="450"/>
      <c r="K757" s="647"/>
      <c r="L757" s="707"/>
      <c r="M757" s="707"/>
      <c r="N757" s="707"/>
      <c r="O757" s="707"/>
      <c r="P757" s="707"/>
      <c r="Q757" s="707"/>
      <c r="R757" s="707"/>
      <c r="S757" s="707"/>
      <c r="T757" s="707"/>
      <c r="U757" s="707"/>
      <c r="V757" s="708"/>
      <c r="W757" s="644"/>
    </row>
    <row r="758" spans="1:23" ht="22.5" customHeight="1" thickTop="1" thickBot="1" x14ac:dyDescent="0.3">
      <c r="A758" s="451"/>
      <c r="B758" s="450"/>
      <c r="C758" s="450"/>
      <c r="D758" s="450"/>
      <c r="E758" s="450"/>
      <c r="F758" s="450"/>
      <c r="G758" s="450"/>
      <c r="H758" s="450"/>
      <c r="I758" s="450"/>
      <c r="J758" s="450"/>
      <c r="K758" s="647"/>
      <c r="L758" s="707"/>
      <c r="M758" s="707"/>
      <c r="N758" s="707"/>
      <c r="O758" s="707"/>
      <c r="P758" s="707"/>
      <c r="Q758" s="707"/>
      <c r="R758" s="707"/>
      <c r="S758" s="707"/>
      <c r="T758" s="707"/>
      <c r="U758" s="707"/>
      <c r="V758" s="708"/>
      <c r="W758" s="644"/>
    </row>
    <row r="759" spans="1:23" ht="22.5" customHeight="1" thickTop="1" thickBot="1" x14ac:dyDescent="0.3">
      <c r="A759" s="451"/>
      <c r="B759" s="450"/>
      <c r="C759" s="450"/>
      <c r="D759" s="450"/>
      <c r="E759" s="450"/>
      <c r="F759" s="450"/>
      <c r="G759" s="450"/>
      <c r="H759" s="450"/>
      <c r="I759" s="450"/>
      <c r="J759" s="450"/>
      <c r="K759" s="647"/>
      <c r="L759" s="707"/>
      <c r="M759" s="707"/>
      <c r="N759" s="707"/>
      <c r="O759" s="707"/>
      <c r="P759" s="707"/>
      <c r="Q759" s="707"/>
      <c r="R759" s="707"/>
      <c r="S759" s="707"/>
      <c r="T759" s="707"/>
      <c r="U759" s="707"/>
      <c r="V759" s="708"/>
      <c r="W759" s="644"/>
    </row>
    <row r="760" spans="1:23" ht="22.5" customHeight="1" thickTop="1" thickBot="1" x14ac:dyDescent="0.3">
      <c r="A760" s="451"/>
      <c r="B760" s="450"/>
      <c r="C760" s="450"/>
      <c r="D760" s="450"/>
      <c r="E760" s="450"/>
      <c r="F760" s="450"/>
      <c r="G760" s="450"/>
      <c r="H760" s="450"/>
      <c r="I760" s="450"/>
      <c r="J760" s="450"/>
      <c r="K760" s="647"/>
      <c r="L760" s="707"/>
      <c r="M760" s="707"/>
      <c r="N760" s="707"/>
      <c r="O760" s="707"/>
      <c r="P760" s="707"/>
      <c r="Q760" s="707"/>
      <c r="R760" s="707"/>
      <c r="S760" s="707"/>
      <c r="T760" s="707"/>
      <c r="U760" s="707"/>
      <c r="V760" s="708"/>
      <c r="W760" s="644"/>
    </row>
    <row r="761" spans="1:23" ht="22.5" customHeight="1" thickTop="1" thickBot="1" x14ac:dyDescent="0.3">
      <c r="A761" s="451"/>
      <c r="B761" s="450"/>
      <c r="C761" s="450"/>
      <c r="D761" s="450"/>
      <c r="E761" s="450"/>
      <c r="F761" s="450"/>
      <c r="G761" s="450"/>
      <c r="H761" s="450"/>
      <c r="I761" s="450"/>
      <c r="J761" s="450"/>
      <c r="K761" s="647"/>
      <c r="L761" s="707"/>
      <c r="M761" s="707"/>
      <c r="N761" s="707"/>
      <c r="O761" s="707"/>
      <c r="P761" s="707"/>
      <c r="Q761" s="707"/>
      <c r="R761" s="707"/>
      <c r="S761" s="707"/>
      <c r="T761" s="707"/>
      <c r="U761" s="707"/>
      <c r="V761" s="708"/>
      <c r="W761" s="644"/>
    </row>
    <row r="762" spans="1:23" ht="22.5" customHeight="1" thickTop="1" thickBot="1" x14ac:dyDescent="0.3">
      <c r="A762" s="451"/>
      <c r="B762" s="450"/>
      <c r="C762" s="450"/>
      <c r="D762" s="450"/>
      <c r="E762" s="450"/>
      <c r="F762" s="450"/>
      <c r="G762" s="450"/>
      <c r="H762" s="450"/>
      <c r="I762" s="450"/>
      <c r="J762" s="450"/>
      <c r="K762" s="647"/>
      <c r="L762" s="707"/>
      <c r="M762" s="707"/>
      <c r="N762" s="707"/>
      <c r="O762" s="707"/>
      <c r="P762" s="707"/>
      <c r="Q762" s="707"/>
      <c r="R762" s="707"/>
      <c r="S762" s="707"/>
      <c r="T762" s="707"/>
      <c r="U762" s="707"/>
      <c r="V762" s="708"/>
      <c r="W762" s="644"/>
    </row>
    <row r="763" spans="1:23" ht="22.5" customHeight="1" thickTop="1" thickBot="1" x14ac:dyDescent="0.3">
      <c r="A763" s="451"/>
      <c r="B763" s="450"/>
      <c r="C763" s="450"/>
      <c r="D763" s="450"/>
      <c r="E763" s="450"/>
      <c r="F763" s="450"/>
      <c r="G763" s="450"/>
      <c r="H763" s="450"/>
      <c r="I763" s="450"/>
      <c r="J763" s="450"/>
      <c r="K763" s="647"/>
      <c r="L763" s="707"/>
      <c r="M763" s="707"/>
      <c r="N763" s="707"/>
      <c r="O763" s="707"/>
      <c r="P763" s="707"/>
      <c r="Q763" s="707"/>
      <c r="R763" s="707"/>
      <c r="S763" s="707"/>
      <c r="T763" s="707"/>
      <c r="U763" s="707"/>
      <c r="V763" s="708"/>
      <c r="W763" s="644"/>
    </row>
    <row r="764" spans="1:23" ht="22.5" customHeight="1" thickTop="1" thickBot="1" x14ac:dyDescent="0.3">
      <c r="A764" s="451"/>
      <c r="B764" s="450"/>
      <c r="C764" s="450"/>
      <c r="D764" s="450"/>
      <c r="E764" s="450"/>
      <c r="F764" s="450"/>
      <c r="G764" s="450"/>
      <c r="H764" s="450"/>
      <c r="I764" s="450"/>
      <c r="J764" s="450"/>
      <c r="K764" s="647"/>
      <c r="L764" s="707"/>
      <c r="M764" s="707"/>
      <c r="N764" s="707"/>
      <c r="O764" s="707"/>
      <c r="P764" s="707"/>
      <c r="Q764" s="707"/>
      <c r="R764" s="707"/>
      <c r="S764" s="707"/>
      <c r="T764" s="707"/>
      <c r="U764" s="707"/>
      <c r="V764" s="708"/>
      <c r="W764" s="644"/>
    </row>
    <row r="765" spans="1:23" ht="22.5" customHeight="1" thickTop="1" thickBot="1" x14ac:dyDescent="0.3">
      <c r="A765" s="451"/>
      <c r="B765" s="450"/>
      <c r="C765" s="450"/>
      <c r="D765" s="450"/>
      <c r="E765" s="450"/>
      <c r="F765" s="450"/>
      <c r="G765" s="450"/>
      <c r="H765" s="450"/>
      <c r="I765" s="450"/>
      <c r="J765" s="450"/>
      <c r="K765" s="647"/>
      <c r="L765" s="707"/>
      <c r="M765" s="707"/>
      <c r="N765" s="707"/>
      <c r="O765" s="707"/>
      <c r="P765" s="707"/>
      <c r="Q765" s="707"/>
      <c r="R765" s="707"/>
      <c r="S765" s="707"/>
      <c r="T765" s="707"/>
      <c r="U765" s="707"/>
      <c r="V765" s="708"/>
      <c r="W765" s="644"/>
    </row>
    <row r="766" spans="1:23" ht="22.5" customHeight="1" thickTop="1" thickBot="1" x14ac:dyDescent="0.3">
      <c r="A766" s="451"/>
      <c r="B766" s="450"/>
      <c r="C766" s="450"/>
      <c r="D766" s="450"/>
      <c r="E766" s="450"/>
      <c r="F766" s="450"/>
      <c r="G766" s="450"/>
      <c r="H766" s="450"/>
      <c r="I766" s="450"/>
      <c r="J766" s="450"/>
      <c r="K766" s="647"/>
      <c r="L766" s="707"/>
      <c r="M766" s="707"/>
      <c r="N766" s="707"/>
      <c r="O766" s="707"/>
      <c r="P766" s="707"/>
      <c r="Q766" s="707"/>
      <c r="R766" s="707"/>
      <c r="S766" s="707"/>
      <c r="T766" s="707"/>
      <c r="U766" s="707"/>
      <c r="V766" s="708"/>
      <c r="W766" s="644"/>
    </row>
    <row r="767" spans="1:23" ht="22.5" customHeight="1" thickTop="1" thickBot="1" x14ac:dyDescent="0.3">
      <c r="A767" s="451"/>
      <c r="B767" s="450"/>
      <c r="C767" s="450"/>
      <c r="D767" s="450"/>
      <c r="E767" s="450"/>
      <c r="F767" s="450"/>
      <c r="G767" s="450"/>
      <c r="H767" s="450"/>
      <c r="I767" s="450"/>
      <c r="J767" s="450"/>
      <c r="K767" s="647"/>
      <c r="L767" s="707"/>
      <c r="M767" s="707"/>
      <c r="N767" s="707"/>
      <c r="O767" s="707"/>
      <c r="P767" s="707"/>
      <c r="Q767" s="707"/>
      <c r="R767" s="707"/>
      <c r="S767" s="707"/>
      <c r="T767" s="707"/>
      <c r="U767" s="707"/>
      <c r="V767" s="708"/>
      <c r="W767" s="644"/>
    </row>
    <row r="768" spans="1:23" ht="22.5" customHeight="1" thickTop="1" thickBot="1" x14ac:dyDescent="0.3">
      <c r="A768" s="451"/>
      <c r="B768" s="450"/>
      <c r="C768" s="450"/>
      <c r="D768" s="450"/>
      <c r="E768" s="450"/>
      <c r="F768" s="450"/>
      <c r="G768" s="450"/>
      <c r="H768" s="450"/>
      <c r="I768" s="450"/>
      <c r="J768" s="450"/>
      <c r="K768" s="647"/>
      <c r="L768" s="707"/>
      <c r="M768" s="707"/>
      <c r="N768" s="707"/>
      <c r="O768" s="707"/>
      <c r="P768" s="707"/>
      <c r="Q768" s="707"/>
      <c r="R768" s="707"/>
      <c r="S768" s="707"/>
      <c r="T768" s="707"/>
      <c r="U768" s="707"/>
      <c r="V768" s="708"/>
      <c r="W768" s="644"/>
    </row>
    <row r="769" spans="1:23" ht="22.5" customHeight="1" thickTop="1" thickBot="1" x14ac:dyDescent="0.3">
      <c r="A769" s="451"/>
      <c r="B769" s="450"/>
      <c r="C769" s="450"/>
      <c r="D769" s="450"/>
      <c r="E769" s="450"/>
      <c r="F769" s="450"/>
      <c r="G769" s="450"/>
      <c r="H769" s="450"/>
      <c r="I769" s="450"/>
      <c r="J769" s="450"/>
      <c r="K769" s="647"/>
      <c r="L769" s="707"/>
      <c r="M769" s="707"/>
      <c r="N769" s="707"/>
      <c r="O769" s="707"/>
      <c r="P769" s="707"/>
      <c r="Q769" s="707"/>
      <c r="R769" s="707"/>
      <c r="S769" s="707"/>
      <c r="T769" s="707"/>
      <c r="U769" s="707"/>
      <c r="V769" s="708"/>
      <c r="W769" s="644"/>
    </row>
    <row r="770" spans="1:23" ht="22.5" customHeight="1" thickTop="1" thickBot="1" x14ac:dyDescent="0.3">
      <c r="A770" s="451"/>
      <c r="B770" s="450"/>
      <c r="C770" s="450"/>
      <c r="D770" s="450"/>
      <c r="E770" s="450"/>
      <c r="F770" s="450"/>
      <c r="G770" s="450"/>
      <c r="H770" s="450"/>
      <c r="I770" s="450"/>
      <c r="J770" s="450"/>
      <c r="K770" s="647"/>
      <c r="L770" s="707"/>
      <c r="M770" s="707"/>
      <c r="N770" s="707"/>
      <c r="O770" s="707"/>
      <c r="P770" s="707"/>
      <c r="Q770" s="707"/>
      <c r="R770" s="707"/>
      <c r="S770" s="707"/>
      <c r="T770" s="707"/>
      <c r="U770" s="707"/>
      <c r="V770" s="708"/>
      <c r="W770" s="644"/>
    </row>
    <row r="771" spans="1:23" ht="22.5" customHeight="1" thickTop="1" thickBot="1" x14ac:dyDescent="0.3">
      <c r="A771" s="451"/>
      <c r="B771" s="450"/>
      <c r="C771" s="450"/>
      <c r="D771" s="450"/>
      <c r="E771" s="450"/>
      <c r="F771" s="450"/>
      <c r="G771" s="450"/>
      <c r="H771" s="450"/>
      <c r="I771" s="450"/>
      <c r="J771" s="450"/>
      <c r="K771" s="647"/>
      <c r="L771" s="707"/>
      <c r="M771" s="707"/>
      <c r="N771" s="707"/>
      <c r="O771" s="707"/>
      <c r="P771" s="707"/>
      <c r="Q771" s="707"/>
      <c r="R771" s="707"/>
      <c r="S771" s="707"/>
      <c r="T771" s="707"/>
      <c r="U771" s="707"/>
      <c r="V771" s="708"/>
      <c r="W771" s="644"/>
    </row>
    <row r="772" spans="1:23" ht="22.5" customHeight="1" thickTop="1" thickBot="1" x14ac:dyDescent="0.3">
      <c r="A772" s="451"/>
      <c r="B772" s="450"/>
      <c r="C772" s="450"/>
      <c r="D772" s="450"/>
      <c r="E772" s="450"/>
      <c r="F772" s="450"/>
      <c r="G772" s="450"/>
      <c r="H772" s="450"/>
      <c r="I772" s="450"/>
      <c r="J772" s="450"/>
      <c r="K772" s="647"/>
      <c r="L772" s="707"/>
      <c r="M772" s="707"/>
      <c r="N772" s="707"/>
      <c r="O772" s="707"/>
      <c r="P772" s="707"/>
      <c r="Q772" s="707"/>
      <c r="R772" s="707"/>
      <c r="S772" s="707"/>
      <c r="T772" s="707"/>
      <c r="U772" s="707"/>
      <c r="V772" s="708"/>
      <c r="W772" s="644"/>
    </row>
    <row r="773" spans="1:23" ht="22.5" customHeight="1" thickTop="1" thickBot="1" x14ac:dyDescent="0.3">
      <c r="A773" s="451"/>
      <c r="B773" s="450"/>
      <c r="C773" s="450"/>
      <c r="D773" s="450"/>
      <c r="E773" s="450"/>
      <c r="F773" s="450"/>
      <c r="G773" s="450"/>
      <c r="H773" s="450"/>
      <c r="I773" s="450"/>
      <c r="J773" s="450"/>
      <c r="K773" s="647"/>
      <c r="L773" s="707"/>
      <c r="M773" s="707"/>
      <c r="N773" s="707"/>
      <c r="O773" s="707"/>
      <c r="P773" s="707"/>
      <c r="Q773" s="707"/>
      <c r="R773" s="707"/>
      <c r="S773" s="707"/>
      <c r="T773" s="707"/>
      <c r="U773" s="707"/>
      <c r="V773" s="708"/>
      <c r="W773" s="644"/>
    </row>
    <row r="774" spans="1:23" ht="22.5" customHeight="1" thickTop="1" thickBot="1" x14ac:dyDescent="0.3">
      <c r="A774" s="451"/>
      <c r="B774" s="450"/>
      <c r="C774" s="450"/>
      <c r="D774" s="450"/>
      <c r="E774" s="450"/>
      <c r="F774" s="450"/>
      <c r="G774" s="450"/>
      <c r="H774" s="450"/>
      <c r="I774" s="450"/>
      <c r="J774" s="450"/>
      <c r="K774" s="647"/>
      <c r="L774" s="707"/>
      <c r="M774" s="707"/>
      <c r="N774" s="707"/>
      <c r="O774" s="707"/>
      <c r="P774" s="707"/>
      <c r="Q774" s="707"/>
      <c r="R774" s="707"/>
      <c r="S774" s="707"/>
      <c r="T774" s="707"/>
      <c r="U774" s="707"/>
      <c r="V774" s="708"/>
      <c r="W774" s="644"/>
    </row>
    <row r="775" spans="1:23" ht="22.5" customHeight="1" thickTop="1" thickBot="1" x14ac:dyDescent="0.3">
      <c r="A775" s="451"/>
      <c r="B775" s="450"/>
      <c r="C775" s="450"/>
      <c r="D775" s="450"/>
      <c r="E775" s="450"/>
      <c r="F775" s="450"/>
      <c r="G775" s="450"/>
      <c r="H775" s="450"/>
      <c r="I775" s="450"/>
      <c r="J775" s="450"/>
      <c r="K775" s="647"/>
      <c r="L775" s="707"/>
      <c r="M775" s="707"/>
      <c r="N775" s="707"/>
      <c r="O775" s="707"/>
      <c r="P775" s="707"/>
      <c r="Q775" s="707"/>
      <c r="R775" s="707"/>
      <c r="S775" s="707"/>
      <c r="T775" s="707"/>
      <c r="U775" s="707"/>
      <c r="V775" s="708"/>
      <c r="W775" s="644"/>
    </row>
    <row r="776" spans="1:23" ht="22.5" customHeight="1" thickTop="1" thickBot="1" x14ac:dyDescent="0.3">
      <c r="A776" s="451"/>
      <c r="B776" s="450"/>
      <c r="C776" s="450"/>
      <c r="D776" s="450"/>
      <c r="E776" s="450"/>
      <c r="F776" s="450"/>
      <c r="G776" s="450"/>
      <c r="H776" s="450"/>
      <c r="I776" s="450"/>
      <c r="J776" s="450"/>
      <c r="K776" s="647"/>
      <c r="L776" s="707"/>
      <c r="M776" s="707"/>
      <c r="N776" s="707"/>
      <c r="O776" s="707"/>
      <c r="P776" s="707"/>
      <c r="Q776" s="707"/>
      <c r="R776" s="707"/>
      <c r="S776" s="707"/>
      <c r="T776" s="707"/>
      <c r="U776" s="707"/>
      <c r="V776" s="708"/>
      <c r="W776" s="644"/>
    </row>
    <row r="777" spans="1:23" ht="22.5" customHeight="1" thickTop="1" thickBot="1" x14ac:dyDescent="0.3">
      <c r="A777" s="451"/>
      <c r="B777" s="450"/>
      <c r="C777" s="450"/>
      <c r="D777" s="450"/>
      <c r="E777" s="450"/>
      <c r="F777" s="450"/>
      <c r="G777" s="450"/>
      <c r="H777" s="450"/>
      <c r="I777" s="450"/>
      <c r="J777" s="450"/>
      <c r="K777" s="647"/>
      <c r="L777" s="707"/>
      <c r="M777" s="707"/>
      <c r="N777" s="707"/>
      <c r="O777" s="707"/>
      <c r="P777" s="707"/>
      <c r="Q777" s="707"/>
      <c r="R777" s="707"/>
      <c r="S777" s="707"/>
      <c r="T777" s="707"/>
      <c r="U777" s="707"/>
      <c r="V777" s="708"/>
      <c r="W777" s="644"/>
    </row>
    <row r="778" spans="1:23" ht="22.5" customHeight="1" thickTop="1" thickBot="1" x14ac:dyDescent="0.3">
      <c r="A778" s="451"/>
      <c r="B778" s="450"/>
      <c r="C778" s="450"/>
      <c r="D778" s="450"/>
      <c r="E778" s="450"/>
      <c r="F778" s="450"/>
      <c r="G778" s="450"/>
      <c r="H778" s="450"/>
      <c r="I778" s="450"/>
      <c r="J778" s="450"/>
      <c r="K778" s="647"/>
      <c r="L778" s="707"/>
      <c r="M778" s="707"/>
      <c r="N778" s="707"/>
      <c r="O778" s="707"/>
      <c r="P778" s="707"/>
      <c r="Q778" s="707"/>
      <c r="R778" s="707"/>
      <c r="S778" s="707"/>
      <c r="T778" s="707"/>
      <c r="U778" s="707"/>
      <c r="V778" s="708"/>
      <c r="W778" s="644"/>
    </row>
    <row r="779" spans="1:23" ht="22.5" customHeight="1" thickTop="1" thickBot="1" x14ac:dyDescent="0.3">
      <c r="A779" s="451"/>
      <c r="B779" s="450"/>
      <c r="C779" s="450"/>
      <c r="D779" s="450"/>
      <c r="E779" s="450"/>
      <c r="F779" s="450"/>
      <c r="G779" s="450"/>
      <c r="H779" s="450"/>
      <c r="I779" s="450"/>
      <c r="J779" s="450"/>
      <c r="K779" s="647"/>
      <c r="L779" s="707"/>
      <c r="M779" s="707"/>
      <c r="N779" s="707"/>
      <c r="O779" s="707"/>
      <c r="P779" s="707"/>
      <c r="Q779" s="707"/>
      <c r="R779" s="707"/>
      <c r="S779" s="707"/>
      <c r="T779" s="707"/>
      <c r="U779" s="707"/>
      <c r="V779" s="708"/>
      <c r="W779" s="644"/>
    </row>
    <row r="780" spans="1:23" ht="22.5" customHeight="1" thickTop="1" thickBot="1" x14ac:dyDescent="0.3">
      <c r="A780" s="451"/>
      <c r="B780" s="450"/>
      <c r="C780" s="450"/>
      <c r="D780" s="450"/>
      <c r="E780" s="450"/>
      <c r="F780" s="450"/>
      <c r="G780" s="450"/>
      <c r="H780" s="450"/>
      <c r="I780" s="450"/>
      <c r="J780" s="450"/>
      <c r="K780" s="647"/>
      <c r="L780" s="707"/>
      <c r="M780" s="707"/>
      <c r="N780" s="707"/>
      <c r="O780" s="707"/>
      <c r="P780" s="707"/>
      <c r="Q780" s="707"/>
      <c r="R780" s="707"/>
      <c r="S780" s="707"/>
      <c r="T780" s="707"/>
      <c r="U780" s="707"/>
      <c r="V780" s="708"/>
      <c r="W780" s="644"/>
    </row>
    <row r="781" spans="1:23" ht="22.5" customHeight="1" thickTop="1" thickBot="1" x14ac:dyDescent="0.3">
      <c r="A781" s="451"/>
      <c r="B781" s="450"/>
      <c r="C781" s="450"/>
      <c r="D781" s="450"/>
      <c r="E781" s="450"/>
      <c r="F781" s="450"/>
      <c r="G781" s="450"/>
      <c r="H781" s="450"/>
      <c r="I781" s="450"/>
      <c r="J781" s="450"/>
      <c r="K781" s="647"/>
      <c r="L781" s="707"/>
      <c r="M781" s="707"/>
      <c r="N781" s="707"/>
      <c r="O781" s="707"/>
      <c r="P781" s="707"/>
      <c r="Q781" s="707"/>
      <c r="R781" s="707"/>
      <c r="S781" s="707"/>
      <c r="T781" s="707"/>
      <c r="U781" s="707"/>
      <c r="V781" s="708"/>
      <c r="W781" s="644"/>
    </row>
    <row r="782" spans="1:23" ht="22.5" customHeight="1" thickTop="1" thickBot="1" x14ac:dyDescent="0.3">
      <c r="A782" s="451"/>
      <c r="B782" s="450"/>
      <c r="C782" s="450"/>
      <c r="D782" s="450"/>
      <c r="E782" s="450"/>
      <c r="F782" s="450"/>
      <c r="G782" s="450"/>
      <c r="H782" s="450"/>
      <c r="I782" s="450"/>
      <c r="J782" s="450"/>
      <c r="K782" s="647"/>
      <c r="L782" s="707"/>
      <c r="M782" s="707"/>
      <c r="N782" s="707"/>
      <c r="O782" s="707"/>
      <c r="P782" s="707"/>
      <c r="Q782" s="707"/>
      <c r="R782" s="707"/>
      <c r="S782" s="707"/>
      <c r="T782" s="707"/>
      <c r="U782" s="707"/>
      <c r="V782" s="708"/>
      <c r="W782" s="644"/>
    </row>
    <row r="783" spans="1:23" ht="22.5" customHeight="1" thickTop="1" thickBot="1" x14ac:dyDescent="0.3">
      <c r="A783" s="451"/>
      <c r="B783" s="450"/>
      <c r="C783" s="450"/>
      <c r="D783" s="450"/>
      <c r="E783" s="450"/>
      <c r="F783" s="450"/>
      <c r="G783" s="450"/>
      <c r="H783" s="450"/>
      <c r="I783" s="450"/>
      <c r="J783" s="450"/>
      <c r="K783" s="647"/>
      <c r="L783" s="707"/>
      <c r="M783" s="707"/>
      <c r="N783" s="707"/>
      <c r="O783" s="707"/>
      <c r="P783" s="707"/>
      <c r="Q783" s="707"/>
      <c r="R783" s="707"/>
      <c r="S783" s="707"/>
      <c r="T783" s="707"/>
      <c r="U783" s="707"/>
      <c r="V783" s="708"/>
      <c r="W783" s="644"/>
    </row>
    <row r="784" spans="1:23" ht="22.5" customHeight="1" thickTop="1" thickBot="1" x14ac:dyDescent="0.3">
      <c r="A784" s="451"/>
      <c r="B784" s="450"/>
      <c r="C784" s="450"/>
      <c r="D784" s="450"/>
      <c r="E784" s="450"/>
      <c r="F784" s="450"/>
      <c r="G784" s="450"/>
      <c r="H784" s="450"/>
      <c r="I784" s="450"/>
      <c r="J784" s="450"/>
      <c r="K784" s="647"/>
      <c r="L784" s="707"/>
      <c r="M784" s="707"/>
      <c r="N784" s="707"/>
      <c r="O784" s="707"/>
      <c r="P784" s="707"/>
      <c r="Q784" s="707"/>
      <c r="R784" s="707"/>
      <c r="S784" s="707"/>
      <c r="T784" s="707"/>
      <c r="U784" s="707"/>
      <c r="V784" s="708"/>
      <c r="W784" s="644"/>
    </row>
    <row r="785" spans="1:23" ht="22.5" customHeight="1" thickTop="1" thickBot="1" x14ac:dyDescent="0.3">
      <c r="A785" s="451"/>
      <c r="B785" s="450"/>
      <c r="C785" s="450"/>
      <c r="D785" s="450"/>
      <c r="E785" s="450"/>
      <c r="F785" s="450"/>
      <c r="G785" s="450"/>
      <c r="H785" s="450"/>
      <c r="I785" s="450"/>
      <c r="J785" s="450"/>
      <c r="K785" s="647"/>
      <c r="L785" s="707"/>
      <c r="M785" s="707"/>
      <c r="N785" s="707"/>
      <c r="O785" s="707"/>
      <c r="P785" s="707"/>
      <c r="Q785" s="707"/>
      <c r="R785" s="707"/>
      <c r="S785" s="707"/>
      <c r="T785" s="707"/>
      <c r="U785" s="707"/>
      <c r="V785" s="708"/>
      <c r="W785" s="644"/>
    </row>
    <row r="786" spans="1:23" ht="22.5" customHeight="1" thickTop="1" thickBot="1" x14ac:dyDescent="0.3">
      <c r="A786" s="451"/>
      <c r="B786" s="450"/>
      <c r="C786" s="450"/>
      <c r="D786" s="450"/>
      <c r="E786" s="450"/>
      <c r="F786" s="450"/>
      <c r="G786" s="450"/>
      <c r="H786" s="450"/>
      <c r="I786" s="450"/>
      <c r="J786" s="450"/>
      <c r="K786" s="647"/>
      <c r="L786" s="707"/>
      <c r="M786" s="707"/>
      <c r="N786" s="707"/>
      <c r="O786" s="707"/>
      <c r="P786" s="707"/>
      <c r="Q786" s="707"/>
      <c r="R786" s="707"/>
      <c r="S786" s="707"/>
      <c r="T786" s="707"/>
      <c r="U786" s="707"/>
      <c r="V786" s="708"/>
      <c r="W786" s="644"/>
    </row>
    <row r="787" spans="1:23" ht="22.5" customHeight="1" thickTop="1" thickBot="1" x14ac:dyDescent="0.3">
      <c r="A787" s="451"/>
      <c r="B787" s="450"/>
      <c r="C787" s="450"/>
      <c r="D787" s="450"/>
      <c r="E787" s="450"/>
      <c r="F787" s="450"/>
      <c r="G787" s="450"/>
      <c r="H787" s="450"/>
      <c r="I787" s="450"/>
      <c r="J787" s="450"/>
      <c r="K787" s="647"/>
      <c r="L787" s="707"/>
      <c r="M787" s="707"/>
      <c r="N787" s="707"/>
      <c r="O787" s="707"/>
      <c r="P787" s="707"/>
      <c r="Q787" s="707"/>
      <c r="R787" s="707"/>
      <c r="S787" s="707"/>
      <c r="T787" s="707"/>
      <c r="U787" s="707"/>
      <c r="V787" s="708"/>
      <c r="W787" s="644"/>
    </row>
    <row r="788" spans="1:23" ht="22.5" customHeight="1" thickTop="1" thickBot="1" x14ac:dyDescent="0.3">
      <c r="A788" s="451"/>
      <c r="B788" s="450"/>
      <c r="C788" s="450"/>
      <c r="D788" s="450"/>
      <c r="E788" s="450"/>
      <c r="F788" s="450"/>
      <c r="G788" s="450"/>
      <c r="H788" s="450"/>
      <c r="I788" s="450"/>
      <c r="J788" s="450"/>
      <c r="K788" s="647"/>
      <c r="L788" s="707"/>
      <c r="M788" s="707"/>
      <c r="N788" s="707"/>
      <c r="O788" s="707"/>
      <c r="P788" s="707"/>
      <c r="Q788" s="707"/>
      <c r="R788" s="707"/>
      <c r="S788" s="707"/>
      <c r="T788" s="707"/>
      <c r="U788" s="707"/>
      <c r="V788" s="708"/>
      <c r="W788" s="644"/>
    </row>
    <row r="789" spans="1:23" ht="22.5" customHeight="1" thickTop="1" thickBot="1" x14ac:dyDescent="0.3">
      <c r="A789" s="451"/>
      <c r="B789" s="450"/>
      <c r="C789" s="450"/>
      <c r="D789" s="450"/>
      <c r="E789" s="450"/>
      <c r="F789" s="450"/>
      <c r="G789" s="450"/>
      <c r="H789" s="450"/>
      <c r="I789" s="450"/>
      <c r="J789" s="450"/>
      <c r="K789" s="647"/>
      <c r="L789" s="707"/>
      <c r="M789" s="707"/>
      <c r="N789" s="707"/>
      <c r="O789" s="707"/>
      <c r="P789" s="707"/>
      <c r="Q789" s="707"/>
      <c r="R789" s="707"/>
      <c r="S789" s="707"/>
      <c r="T789" s="707"/>
      <c r="U789" s="707"/>
      <c r="V789" s="708"/>
      <c r="W789" s="644"/>
    </row>
    <row r="790" spans="1:23" ht="22.5" customHeight="1" thickTop="1" thickBot="1" x14ac:dyDescent="0.3">
      <c r="A790" s="451"/>
      <c r="B790" s="450"/>
      <c r="C790" s="450"/>
      <c r="D790" s="450"/>
      <c r="E790" s="450"/>
      <c r="F790" s="450"/>
      <c r="G790" s="450"/>
      <c r="H790" s="450"/>
      <c r="I790" s="450"/>
      <c r="J790" s="450"/>
      <c r="K790" s="647"/>
      <c r="L790" s="707"/>
      <c r="M790" s="707"/>
      <c r="N790" s="707"/>
      <c r="O790" s="707"/>
      <c r="P790" s="707"/>
      <c r="Q790" s="707"/>
      <c r="R790" s="707"/>
      <c r="S790" s="707"/>
      <c r="T790" s="707"/>
      <c r="U790" s="707"/>
      <c r="V790" s="708"/>
      <c r="W790" s="644"/>
    </row>
    <row r="791" spans="1:23" ht="22.5" customHeight="1" thickTop="1" thickBot="1" x14ac:dyDescent="0.3">
      <c r="A791" s="451"/>
      <c r="B791" s="450"/>
      <c r="C791" s="450"/>
      <c r="D791" s="450"/>
      <c r="E791" s="450"/>
      <c r="F791" s="450"/>
      <c r="G791" s="450"/>
      <c r="H791" s="450"/>
      <c r="I791" s="450"/>
      <c r="J791" s="450"/>
      <c r="K791" s="647"/>
      <c r="L791" s="707"/>
      <c r="M791" s="707"/>
      <c r="N791" s="707"/>
      <c r="O791" s="707"/>
      <c r="P791" s="707"/>
      <c r="Q791" s="707"/>
      <c r="R791" s="707"/>
      <c r="S791" s="707"/>
      <c r="T791" s="707"/>
      <c r="U791" s="707"/>
      <c r="V791" s="708"/>
      <c r="W791" s="644"/>
    </row>
    <row r="792" spans="1:23" ht="22.5" customHeight="1" thickTop="1" thickBot="1" x14ac:dyDescent="0.3">
      <c r="A792" s="451"/>
      <c r="B792" s="450"/>
      <c r="C792" s="450"/>
      <c r="D792" s="450"/>
      <c r="E792" s="450"/>
      <c r="F792" s="450"/>
      <c r="G792" s="450"/>
      <c r="H792" s="450"/>
      <c r="I792" s="450"/>
      <c r="J792" s="450"/>
      <c r="K792" s="647"/>
      <c r="L792" s="707"/>
      <c r="M792" s="707"/>
      <c r="N792" s="707"/>
      <c r="O792" s="707"/>
      <c r="P792" s="707"/>
      <c r="Q792" s="707"/>
      <c r="R792" s="707"/>
      <c r="S792" s="707"/>
      <c r="T792" s="707"/>
      <c r="U792" s="707"/>
      <c r="V792" s="708"/>
      <c r="W792" s="644"/>
    </row>
    <row r="793" spans="1:23" ht="22.5" customHeight="1" thickTop="1" thickBot="1" x14ac:dyDescent="0.3">
      <c r="A793" s="451"/>
      <c r="B793" s="450"/>
      <c r="C793" s="450"/>
      <c r="D793" s="450"/>
      <c r="E793" s="450"/>
      <c r="F793" s="450"/>
      <c r="G793" s="450"/>
      <c r="H793" s="450"/>
      <c r="I793" s="450"/>
      <c r="J793" s="450"/>
      <c r="K793" s="647"/>
      <c r="L793" s="707"/>
      <c r="M793" s="707"/>
      <c r="N793" s="707"/>
      <c r="O793" s="707"/>
      <c r="P793" s="707"/>
      <c r="Q793" s="707"/>
      <c r="R793" s="707"/>
      <c r="S793" s="707"/>
      <c r="T793" s="707"/>
      <c r="U793" s="707"/>
      <c r="V793" s="708"/>
      <c r="W793" s="644"/>
    </row>
    <row r="794" spans="1:23" ht="22.5" customHeight="1" thickTop="1" thickBot="1" x14ac:dyDescent="0.3">
      <c r="A794" s="451"/>
      <c r="B794" s="450"/>
      <c r="C794" s="450"/>
      <c r="D794" s="450"/>
      <c r="E794" s="450"/>
      <c r="F794" s="450"/>
      <c r="G794" s="450"/>
      <c r="H794" s="450"/>
      <c r="I794" s="450"/>
      <c r="J794" s="450"/>
      <c r="K794" s="647"/>
      <c r="L794" s="707"/>
      <c r="M794" s="707"/>
      <c r="N794" s="707"/>
      <c r="O794" s="707"/>
      <c r="P794" s="707"/>
      <c r="Q794" s="707"/>
      <c r="R794" s="707"/>
      <c r="S794" s="707"/>
      <c r="T794" s="707"/>
      <c r="U794" s="707"/>
      <c r="V794" s="708"/>
      <c r="W794" s="644"/>
    </row>
    <row r="795" spans="1:23" ht="22.5" customHeight="1" thickTop="1" thickBot="1" x14ac:dyDescent="0.3">
      <c r="A795" s="451"/>
      <c r="B795" s="450"/>
      <c r="C795" s="450"/>
      <c r="D795" s="450"/>
      <c r="E795" s="450"/>
      <c r="F795" s="450"/>
      <c r="G795" s="450"/>
      <c r="H795" s="450"/>
      <c r="I795" s="450"/>
      <c r="J795" s="450"/>
      <c r="K795" s="647"/>
      <c r="L795" s="707"/>
      <c r="M795" s="707"/>
      <c r="N795" s="707"/>
      <c r="O795" s="707"/>
      <c r="P795" s="707"/>
      <c r="Q795" s="707"/>
      <c r="R795" s="707"/>
      <c r="S795" s="707"/>
      <c r="T795" s="707"/>
      <c r="U795" s="707"/>
      <c r="V795" s="708"/>
      <c r="W795" s="644"/>
    </row>
    <row r="796" spans="1:23" ht="22.5" customHeight="1" thickTop="1" thickBot="1" x14ac:dyDescent="0.3">
      <c r="A796" s="451"/>
      <c r="B796" s="450"/>
      <c r="C796" s="450"/>
      <c r="D796" s="450"/>
      <c r="E796" s="450"/>
      <c r="F796" s="450"/>
      <c r="G796" s="450"/>
      <c r="H796" s="450"/>
      <c r="I796" s="450"/>
      <c r="J796" s="450"/>
      <c r="K796" s="647"/>
      <c r="L796" s="707"/>
      <c r="M796" s="707"/>
      <c r="N796" s="707"/>
      <c r="O796" s="707"/>
      <c r="P796" s="707"/>
      <c r="Q796" s="707"/>
      <c r="R796" s="707"/>
      <c r="S796" s="707"/>
      <c r="T796" s="707"/>
      <c r="U796" s="707"/>
      <c r="V796" s="708"/>
      <c r="W796" s="644"/>
    </row>
    <row r="797" spans="1:23" ht="22.5" customHeight="1" thickTop="1" thickBot="1" x14ac:dyDescent="0.3">
      <c r="A797" s="451"/>
      <c r="B797" s="450"/>
      <c r="C797" s="450"/>
      <c r="D797" s="450"/>
      <c r="E797" s="450"/>
      <c r="F797" s="450"/>
      <c r="G797" s="450"/>
      <c r="H797" s="450"/>
      <c r="I797" s="450"/>
      <c r="J797" s="450"/>
      <c r="K797" s="647"/>
      <c r="L797" s="707"/>
      <c r="M797" s="707"/>
      <c r="N797" s="707"/>
      <c r="O797" s="707"/>
      <c r="P797" s="707"/>
      <c r="Q797" s="707"/>
      <c r="R797" s="707"/>
      <c r="S797" s="707"/>
      <c r="T797" s="707"/>
      <c r="U797" s="707"/>
      <c r="V797" s="708"/>
      <c r="W797" s="644"/>
    </row>
    <row r="798" spans="1:23" ht="22.5" customHeight="1" thickTop="1" thickBot="1" x14ac:dyDescent="0.3">
      <c r="A798" s="451"/>
      <c r="B798" s="450"/>
      <c r="C798" s="450"/>
      <c r="D798" s="450"/>
      <c r="E798" s="450"/>
      <c r="F798" s="450"/>
      <c r="G798" s="450"/>
      <c r="H798" s="450"/>
      <c r="I798" s="450"/>
      <c r="J798" s="450"/>
      <c r="K798" s="647"/>
      <c r="L798" s="707"/>
      <c r="M798" s="707"/>
      <c r="N798" s="707"/>
      <c r="O798" s="707"/>
      <c r="P798" s="707"/>
      <c r="Q798" s="707"/>
      <c r="R798" s="707"/>
      <c r="S798" s="707"/>
      <c r="T798" s="707"/>
      <c r="U798" s="707"/>
      <c r="V798" s="708"/>
      <c r="W798" s="644"/>
    </row>
    <row r="799" spans="1:23" ht="22.5" customHeight="1" thickTop="1" thickBot="1" x14ac:dyDescent="0.3">
      <c r="A799" s="451"/>
      <c r="B799" s="450"/>
      <c r="C799" s="450"/>
      <c r="D799" s="450"/>
      <c r="E799" s="450"/>
      <c r="F799" s="450"/>
      <c r="G799" s="450"/>
      <c r="H799" s="450"/>
      <c r="I799" s="450"/>
      <c r="J799" s="450"/>
      <c r="K799" s="647"/>
      <c r="L799" s="707"/>
      <c r="M799" s="707"/>
      <c r="N799" s="707"/>
      <c r="O799" s="707"/>
      <c r="P799" s="707"/>
      <c r="Q799" s="707"/>
      <c r="R799" s="707"/>
      <c r="S799" s="707"/>
      <c r="T799" s="707"/>
      <c r="U799" s="707"/>
      <c r="V799" s="708"/>
      <c r="W799" s="644"/>
    </row>
    <row r="800" spans="1:23" ht="22.5" customHeight="1" thickTop="1" thickBot="1" x14ac:dyDescent="0.3">
      <c r="A800" s="451"/>
      <c r="B800" s="450"/>
      <c r="C800" s="450"/>
      <c r="D800" s="450"/>
      <c r="E800" s="450"/>
      <c r="F800" s="450"/>
      <c r="G800" s="450"/>
      <c r="H800" s="450"/>
      <c r="I800" s="450"/>
      <c r="J800" s="450"/>
      <c r="K800" s="647"/>
      <c r="L800" s="707"/>
      <c r="M800" s="707"/>
      <c r="N800" s="707"/>
      <c r="O800" s="707"/>
      <c r="P800" s="707"/>
      <c r="Q800" s="707"/>
      <c r="R800" s="707"/>
      <c r="S800" s="707"/>
      <c r="T800" s="707"/>
      <c r="U800" s="707"/>
      <c r="V800" s="708"/>
      <c r="W800" s="644"/>
    </row>
    <row r="801" spans="1:23" ht="22.5" customHeight="1" thickTop="1" thickBot="1" x14ac:dyDescent="0.3">
      <c r="A801" s="451"/>
      <c r="B801" s="450"/>
      <c r="C801" s="450"/>
      <c r="D801" s="450"/>
      <c r="E801" s="450"/>
      <c r="F801" s="450"/>
      <c r="G801" s="450"/>
      <c r="H801" s="450"/>
      <c r="I801" s="450"/>
      <c r="J801" s="450"/>
      <c r="K801" s="647"/>
      <c r="L801" s="707"/>
      <c r="M801" s="707"/>
      <c r="N801" s="707"/>
      <c r="O801" s="707"/>
      <c r="P801" s="707"/>
      <c r="Q801" s="707"/>
      <c r="R801" s="707"/>
      <c r="S801" s="707"/>
      <c r="T801" s="707"/>
      <c r="U801" s="707"/>
      <c r="V801" s="708"/>
      <c r="W801" s="644"/>
    </row>
    <row r="802" spans="1:23" ht="22.5" customHeight="1" thickTop="1" thickBot="1" x14ac:dyDescent="0.3">
      <c r="A802" s="451"/>
      <c r="B802" s="450"/>
      <c r="C802" s="450"/>
      <c r="D802" s="450"/>
      <c r="E802" s="450"/>
      <c r="F802" s="450"/>
      <c r="G802" s="450"/>
      <c r="H802" s="450"/>
      <c r="I802" s="450"/>
      <c r="J802" s="450"/>
      <c r="K802" s="647"/>
      <c r="L802" s="707"/>
      <c r="M802" s="707"/>
      <c r="N802" s="707"/>
      <c r="O802" s="707"/>
      <c r="P802" s="707"/>
      <c r="Q802" s="707"/>
      <c r="R802" s="707"/>
      <c r="S802" s="707"/>
      <c r="T802" s="707"/>
      <c r="U802" s="707"/>
      <c r="V802" s="708"/>
      <c r="W802" s="644"/>
    </row>
    <row r="803" spans="1:23" ht="22.5" customHeight="1" thickTop="1" thickBot="1" x14ac:dyDescent="0.3">
      <c r="A803" s="451"/>
      <c r="B803" s="450"/>
      <c r="C803" s="450"/>
      <c r="D803" s="450"/>
      <c r="E803" s="450"/>
      <c r="F803" s="450"/>
      <c r="G803" s="450"/>
      <c r="H803" s="450"/>
      <c r="I803" s="450"/>
      <c r="J803" s="450"/>
      <c r="K803" s="647"/>
      <c r="L803" s="707"/>
      <c r="M803" s="707"/>
      <c r="N803" s="707"/>
      <c r="O803" s="707"/>
      <c r="P803" s="707"/>
      <c r="Q803" s="707"/>
      <c r="R803" s="707"/>
      <c r="S803" s="707"/>
      <c r="T803" s="707"/>
      <c r="U803" s="707"/>
      <c r="V803" s="708"/>
      <c r="W803" s="644"/>
    </row>
    <row r="804" spans="1:23" ht="22.5" customHeight="1" thickTop="1" thickBot="1" x14ac:dyDescent="0.3">
      <c r="A804" s="451"/>
      <c r="B804" s="450"/>
      <c r="C804" s="450"/>
      <c r="D804" s="450"/>
      <c r="E804" s="450"/>
      <c r="F804" s="450"/>
      <c r="G804" s="450"/>
      <c r="H804" s="450"/>
      <c r="I804" s="450"/>
      <c r="J804" s="450"/>
      <c r="K804" s="647"/>
      <c r="L804" s="707"/>
      <c r="M804" s="707"/>
      <c r="N804" s="707"/>
      <c r="O804" s="707"/>
      <c r="P804" s="707"/>
      <c r="Q804" s="707"/>
      <c r="R804" s="707"/>
      <c r="S804" s="707"/>
      <c r="T804" s="707"/>
      <c r="U804" s="707"/>
      <c r="V804" s="708"/>
      <c r="W804" s="644"/>
    </row>
    <row r="805" spans="1:23" ht="22.5" customHeight="1" thickTop="1" thickBot="1" x14ac:dyDescent="0.3">
      <c r="A805" s="451"/>
      <c r="B805" s="450"/>
      <c r="C805" s="450"/>
      <c r="D805" s="450"/>
      <c r="E805" s="450"/>
      <c r="F805" s="450"/>
      <c r="G805" s="450"/>
      <c r="H805" s="450"/>
      <c r="I805" s="450"/>
      <c r="J805" s="450"/>
      <c r="K805" s="647"/>
      <c r="L805" s="707"/>
      <c r="M805" s="707"/>
      <c r="N805" s="707"/>
      <c r="O805" s="707"/>
      <c r="P805" s="707"/>
      <c r="Q805" s="707"/>
      <c r="R805" s="707"/>
      <c r="S805" s="707"/>
      <c r="T805" s="707"/>
      <c r="U805" s="707"/>
      <c r="V805" s="708"/>
      <c r="W805" s="644"/>
    </row>
    <row r="806" spans="1:23" ht="22.5" customHeight="1" thickTop="1" thickBot="1" x14ac:dyDescent="0.3">
      <c r="A806" s="451"/>
      <c r="B806" s="450"/>
      <c r="C806" s="450"/>
      <c r="D806" s="450"/>
      <c r="E806" s="450"/>
      <c r="F806" s="450"/>
      <c r="G806" s="450"/>
      <c r="H806" s="450"/>
      <c r="I806" s="450"/>
      <c r="J806" s="450"/>
      <c r="K806" s="647"/>
      <c r="L806" s="707"/>
      <c r="M806" s="707"/>
      <c r="N806" s="707"/>
      <c r="O806" s="707"/>
      <c r="P806" s="707"/>
      <c r="Q806" s="707"/>
      <c r="R806" s="707"/>
      <c r="S806" s="707"/>
      <c r="T806" s="707"/>
      <c r="U806" s="707"/>
      <c r="V806" s="708"/>
      <c r="W806" s="644"/>
    </row>
    <row r="807" spans="1:23" ht="22.5" customHeight="1" thickTop="1" thickBot="1" x14ac:dyDescent="0.3">
      <c r="A807" s="451"/>
      <c r="B807" s="450"/>
      <c r="C807" s="450"/>
      <c r="D807" s="450"/>
      <c r="E807" s="450"/>
      <c r="F807" s="450"/>
      <c r="G807" s="450"/>
      <c r="H807" s="450"/>
      <c r="I807" s="450"/>
      <c r="J807" s="450"/>
      <c r="K807" s="647"/>
      <c r="L807" s="707"/>
      <c r="M807" s="707"/>
      <c r="N807" s="707"/>
      <c r="O807" s="707"/>
      <c r="P807" s="707"/>
      <c r="Q807" s="707"/>
      <c r="R807" s="707"/>
      <c r="S807" s="707"/>
      <c r="T807" s="707"/>
      <c r="U807" s="707"/>
      <c r="V807" s="708"/>
      <c r="W807" s="644"/>
    </row>
    <row r="808" spans="1:23" ht="22.5" customHeight="1" thickTop="1" thickBot="1" x14ac:dyDescent="0.3">
      <c r="A808" s="451"/>
      <c r="B808" s="450"/>
      <c r="C808" s="450"/>
      <c r="D808" s="450"/>
      <c r="E808" s="450"/>
      <c r="F808" s="450"/>
      <c r="G808" s="450"/>
      <c r="H808" s="450"/>
      <c r="I808" s="450"/>
      <c r="J808" s="450"/>
      <c r="K808" s="647"/>
      <c r="L808" s="707"/>
      <c r="M808" s="707"/>
      <c r="N808" s="707"/>
      <c r="O808" s="707"/>
      <c r="P808" s="707"/>
      <c r="Q808" s="707"/>
      <c r="R808" s="707"/>
      <c r="S808" s="707"/>
      <c r="T808" s="707"/>
      <c r="U808" s="707"/>
      <c r="V808" s="708"/>
      <c r="W808" s="644"/>
    </row>
    <row r="809" spans="1:23" ht="22.5" customHeight="1" thickTop="1" thickBot="1" x14ac:dyDescent="0.3">
      <c r="A809" s="451"/>
      <c r="B809" s="450"/>
      <c r="C809" s="450"/>
      <c r="D809" s="450"/>
      <c r="E809" s="450"/>
      <c r="F809" s="450"/>
      <c r="G809" s="450"/>
      <c r="H809" s="450"/>
      <c r="I809" s="450"/>
      <c r="J809" s="450"/>
      <c r="K809" s="647"/>
      <c r="L809" s="707"/>
      <c r="M809" s="707"/>
      <c r="N809" s="707"/>
      <c r="O809" s="707"/>
      <c r="P809" s="707"/>
      <c r="Q809" s="707"/>
      <c r="R809" s="707"/>
      <c r="S809" s="707"/>
      <c r="T809" s="707"/>
      <c r="U809" s="707"/>
      <c r="V809" s="708"/>
      <c r="W809" s="644"/>
    </row>
    <row r="810" spans="1:23" ht="22.5" customHeight="1" thickTop="1" thickBot="1" x14ac:dyDescent="0.3">
      <c r="A810" s="451"/>
      <c r="B810" s="450"/>
      <c r="C810" s="450"/>
      <c r="D810" s="450"/>
      <c r="E810" s="450"/>
      <c r="F810" s="450"/>
      <c r="G810" s="450"/>
      <c r="H810" s="450"/>
      <c r="I810" s="450"/>
      <c r="J810" s="450"/>
      <c r="K810" s="647"/>
      <c r="L810" s="707"/>
      <c r="M810" s="707"/>
      <c r="N810" s="707"/>
      <c r="O810" s="707"/>
      <c r="P810" s="707"/>
      <c r="Q810" s="707"/>
      <c r="R810" s="707"/>
      <c r="S810" s="707"/>
      <c r="T810" s="707"/>
      <c r="U810" s="707"/>
      <c r="V810" s="708"/>
      <c r="W810" s="644"/>
    </row>
    <row r="811" spans="1:23" ht="22.5" customHeight="1" thickTop="1" thickBot="1" x14ac:dyDescent="0.3">
      <c r="A811" s="451"/>
      <c r="B811" s="450"/>
      <c r="C811" s="450"/>
      <c r="D811" s="450"/>
      <c r="E811" s="450"/>
      <c r="F811" s="450"/>
      <c r="G811" s="450"/>
      <c r="H811" s="450"/>
      <c r="I811" s="450"/>
      <c r="J811" s="450"/>
      <c r="K811" s="647"/>
      <c r="L811" s="707"/>
      <c r="M811" s="707"/>
      <c r="N811" s="707"/>
      <c r="O811" s="707"/>
      <c r="P811" s="707"/>
      <c r="Q811" s="707"/>
      <c r="R811" s="707"/>
      <c r="S811" s="707"/>
      <c r="T811" s="707"/>
      <c r="U811" s="707"/>
      <c r="V811" s="708"/>
      <c r="W811" s="644"/>
    </row>
    <row r="812" spans="1:23" ht="22.5" customHeight="1" thickTop="1" thickBot="1" x14ac:dyDescent="0.3">
      <c r="A812" s="451"/>
      <c r="B812" s="450"/>
      <c r="C812" s="450"/>
      <c r="D812" s="450"/>
      <c r="E812" s="450"/>
      <c r="F812" s="450"/>
      <c r="G812" s="450"/>
      <c r="H812" s="450"/>
      <c r="I812" s="450"/>
      <c r="J812" s="450"/>
      <c r="K812" s="647"/>
      <c r="L812" s="707"/>
      <c r="M812" s="707"/>
      <c r="N812" s="707"/>
      <c r="O812" s="707"/>
      <c r="P812" s="707"/>
      <c r="Q812" s="707"/>
      <c r="R812" s="707"/>
      <c r="S812" s="707"/>
      <c r="T812" s="707"/>
      <c r="U812" s="707"/>
      <c r="V812" s="708"/>
      <c r="W812" s="644"/>
    </row>
    <row r="813" spans="1:23" ht="22.5" customHeight="1" thickTop="1" thickBot="1" x14ac:dyDescent="0.3">
      <c r="A813" s="451"/>
      <c r="B813" s="450"/>
      <c r="C813" s="450"/>
      <c r="D813" s="450"/>
      <c r="E813" s="450"/>
      <c r="F813" s="450"/>
      <c r="G813" s="450"/>
      <c r="H813" s="450"/>
      <c r="I813" s="450"/>
      <c r="J813" s="450"/>
      <c r="K813" s="647"/>
      <c r="L813" s="707"/>
      <c r="M813" s="707"/>
      <c r="N813" s="707"/>
      <c r="O813" s="707"/>
      <c r="P813" s="707"/>
      <c r="Q813" s="707"/>
      <c r="R813" s="707"/>
      <c r="S813" s="707"/>
      <c r="T813" s="707"/>
      <c r="U813" s="707"/>
      <c r="V813" s="708"/>
      <c r="W813" s="644"/>
    </row>
    <row r="814" spans="1:23" ht="22.5" customHeight="1" thickTop="1" thickBot="1" x14ac:dyDescent="0.3">
      <c r="A814" s="451"/>
      <c r="B814" s="450"/>
      <c r="C814" s="450"/>
      <c r="D814" s="450"/>
      <c r="E814" s="450"/>
      <c r="F814" s="450"/>
      <c r="G814" s="450"/>
      <c r="H814" s="450"/>
      <c r="I814" s="450"/>
      <c r="J814" s="450"/>
      <c r="K814" s="647"/>
      <c r="L814" s="707"/>
      <c r="M814" s="707"/>
      <c r="N814" s="707"/>
      <c r="O814" s="707"/>
      <c r="P814" s="707"/>
      <c r="Q814" s="707"/>
      <c r="R814" s="707"/>
      <c r="S814" s="707"/>
      <c r="T814" s="707"/>
      <c r="U814" s="707"/>
      <c r="V814" s="708"/>
      <c r="W814" s="644"/>
    </row>
    <row r="815" spans="1:23" ht="22.5" customHeight="1" thickTop="1" thickBot="1" x14ac:dyDescent="0.3">
      <c r="A815" s="451"/>
      <c r="B815" s="450"/>
      <c r="C815" s="450"/>
      <c r="D815" s="450"/>
      <c r="E815" s="450"/>
      <c r="F815" s="450"/>
      <c r="G815" s="450"/>
      <c r="H815" s="450"/>
      <c r="I815" s="450"/>
      <c r="J815" s="450"/>
      <c r="K815" s="647"/>
      <c r="L815" s="707"/>
      <c r="M815" s="707"/>
      <c r="N815" s="707"/>
      <c r="O815" s="707"/>
      <c r="P815" s="707"/>
      <c r="Q815" s="707"/>
      <c r="R815" s="707"/>
      <c r="S815" s="707"/>
      <c r="T815" s="707"/>
      <c r="U815" s="707"/>
      <c r="V815" s="708"/>
      <c r="W815" s="644"/>
    </row>
    <row r="816" spans="1:23" ht="22.5" customHeight="1" thickTop="1" thickBot="1" x14ac:dyDescent="0.3">
      <c r="A816" s="451"/>
      <c r="B816" s="450"/>
      <c r="C816" s="450"/>
      <c r="D816" s="450"/>
      <c r="E816" s="450"/>
      <c r="F816" s="450"/>
      <c r="G816" s="450"/>
      <c r="H816" s="450"/>
      <c r="I816" s="450"/>
      <c r="J816" s="450"/>
      <c r="K816" s="647"/>
      <c r="L816" s="707"/>
      <c r="M816" s="707"/>
      <c r="N816" s="707"/>
      <c r="O816" s="707"/>
      <c r="P816" s="707"/>
      <c r="Q816" s="707"/>
      <c r="R816" s="707"/>
      <c r="S816" s="707"/>
      <c r="T816" s="707"/>
      <c r="U816" s="707"/>
      <c r="V816" s="708"/>
      <c r="W816" s="644"/>
    </row>
    <row r="817" spans="1:23" ht="22.5" customHeight="1" thickTop="1" thickBot="1" x14ac:dyDescent="0.3">
      <c r="A817" s="451"/>
      <c r="B817" s="450"/>
      <c r="C817" s="450"/>
      <c r="D817" s="450"/>
      <c r="E817" s="450"/>
      <c r="F817" s="450"/>
      <c r="G817" s="450"/>
      <c r="H817" s="450"/>
      <c r="I817" s="450"/>
      <c r="J817" s="450"/>
      <c r="K817" s="647"/>
      <c r="L817" s="707"/>
      <c r="M817" s="707"/>
      <c r="N817" s="707"/>
      <c r="O817" s="707"/>
      <c r="P817" s="707"/>
      <c r="Q817" s="707"/>
      <c r="R817" s="707"/>
      <c r="S817" s="707"/>
      <c r="T817" s="707"/>
      <c r="U817" s="707"/>
      <c r="V817" s="708"/>
      <c r="W817" s="644"/>
    </row>
    <row r="818" spans="1:23" ht="22.5" customHeight="1" thickTop="1" thickBot="1" x14ac:dyDescent="0.3">
      <c r="A818" s="451"/>
      <c r="B818" s="450"/>
      <c r="C818" s="450"/>
      <c r="D818" s="450"/>
      <c r="E818" s="450"/>
      <c r="F818" s="450"/>
      <c r="G818" s="450"/>
      <c r="H818" s="450"/>
      <c r="I818" s="450"/>
      <c r="J818" s="450"/>
      <c r="K818" s="647"/>
      <c r="L818" s="707"/>
      <c r="M818" s="707"/>
      <c r="N818" s="707"/>
      <c r="O818" s="707"/>
      <c r="P818" s="707"/>
      <c r="Q818" s="707"/>
      <c r="R818" s="707"/>
      <c r="S818" s="707"/>
      <c r="T818" s="707"/>
      <c r="U818" s="707"/>
      <c r="V818" s="708"/>
      <c r="W818" s="644"/>
    </row>
    <row r="819" spans="1:23" ht="22.5" customHeight="1" thickTop="1" thickBot="1" x14ac:dyDescent="0.3">
      <c r="A819" s="451"/>
      <c r="B819" s="450"/>
      <c r="C819" s="450"/>
      <c r="D819" s="450"/>
      <c r="E819" s="450"/>
      <c r="F819" s="450"/>
      <c r="G819" s="450"/>
      <c r="H819" s="450"/>
      <c r="I819" s="450"/>
      <c r="J819" s="450"/>
      <c r="K819" s="647"/>
      <c r="L819" s="707"/>
      <c r="M819" s="707"/>
      <c r="N819" s="707"/>
      <c r="O819" s="707"/>
      <c r="P819" s="707"/>
      <c r="Q819" s="707"/>
      <c r="R819" s="707"/>
      <c r="S819" s="707"/>
      <c r="T819" s="707"/>
      <c r="U819" s="707"/>
      <c r="V819" s="708"/>
      <c r="W819" s="644"/>
    </row>
    <row r="820" spans="1:23" ht="22.5" customHeight="1" thickTop="1" thickBot="1" x14ac:dyDescent="0.3">
      <c r="A820" s="451"/>
      <c r="B820" s="450"/>
      <c r="C820" s="450"/>
      <c r="D820" s="450"/>
      <c r="E820" s="450"/>
      <c r="F820" s="450"/>
      <c r="G820" s="450"/>
      <c r="H820" s="450"/>
      <c r="I820" s="450"/>
      <c r="J820" s="450"/>
      <c r="K820" s="647"/>
      <c r="L820" s="707"/>
      <c r="M820" s="707"/>
      <c r="N820" s="707"/>
      <c r="O820" s="707"/>
      <c r="P820" s="707"/>
      <c r="Q820" s="707"/>
      <c r="R820" s="707"/>
      <c r="S820" s="707"/>
      <c r="T820" s="707"/>
      <c r="U820" s="707"/>
      <c r="V820" s="708"/>
      <c r="W820" s="644"/>
    </row>
    <row r="821" spans="1:23" ht="22.5" customHeight="1" thickTop="1" thickBot="1" x14ac:dyDescent="0.3">
      <c r="A821" s="451"/>
      <c r="B821" s="450"/>
      <c r="C821" s="450"/>
      <c r="D821" s="450"/>
      <c r="E821" s="450"/>
      <c r="F821" s="450"/>
      <c r="G821" s="450"/>
      <c r="H821" s="450"/>
      <c r="I821" s="450"/>
      <c r="J821" s="450"/>
      <c r="K821" s="647"/>
      <c r="L821" s="707"/>
      <c r="M821" s="707"/>
      <c r="N821" s="707"/>
      <c r="O821" s="707"/>
      <c r="P821" s="707"/>
      <c r="Q821" s="707"/>
      <c r="R821" s="707"/>
      <c r="S821" s="707"/>
      <c r="T821" s="707"/>
      <c r="U821" s="707"/>
      <c r="V821" s="708"/>
      <c r="W821" s="644"/>
    </row>
    <row r="822" spans="1:23" ht="22.5" customHeight="1" thickTop="1" thickBot="1" x14ac:dyDescent="0.3">
      <c r="A822" s="451"/>
      <c r="B822" s="450"/>
      <c r="C822" s="450"/>
      <c r="D822" s="450"/>
      <c r="E822" s="450"/>
      <c r="F822" s="450"/>
      <c r="G822" s="450"/>
      <c r="H822" s="450"/>
      <c r="I822" s="450"/>
      <c r="J822" s="450"/>
      <c r="K822" s="647"/>
      <c r="L822" s="707"/>
      <c r="M822" s="707"/>
      <c r="N822" s="707"/>
      <c r="O822" s="707"/>
      <c r="P822" s="707"/>
      <c r="Q822" s="707"/>
      <c r="R822" s="707"/>
      <c r="S822" s="707"/>
      <c r="T822" s="707"/>
      <c r="U822" s="707"/>
      <c r="V822" s="708"/>
      <c r="W822" s="644"/>
    </row>
    <row r="823" spans="1:23" ht="22.5" customHeight="1" thickTop="1" thickBot="1" x14ac:dyDescent="0.3">
      <c r="A823" s="451"/>
      <c r="B823" s="450"/>
      <c r="C823" s="450"/>
      <c r="D823" s="450"/>
      <c r="E823" s="450"/>
      <c r="F823" s="450"/>
      <c r="G823" s="450"/>
      <c r="H823" s="450"/>
      <c r="I823" s="450"/>
      <c r="J823" s="450"/>
      <c r="K823" s="647"/>
      <c r="L823" s="707"/>
      <c r="M823" s="707"/>
      <c r="N823" s="707"/>
      <c r="O823" s="707"/>
      <c r="P823" s="707"/>
      <c r="Q823" s="707"/>
      <c r="R823" s="707"/>
      <c r="S823" s="707"/>
      <c r="T823" s="707"/>
      <c r="U823" s="707"/>
      <c r="V823" s="708"/>
      <c r="W823" s="644"/>
    </row>
    <row r="824" spans="1:23" ht="22.5" customHeight="1" thickTop="1" thickBot="1" x14ac:dyDescent="0.3">
      <c r="A824" s="451"/>
      <c r="B824" s="450"/>
      <c r="C824" s="450"/>
      <c r="D824" s="450"/>
      <c r="E824" s="450"/>
      <c r="F824" s="450"/>
      <c r="G824" s="450"/>
      <c r="H824" s="450"/>
      <c r="I824" s="450"/>
      <c r="J824" s="450"/>
      <c r="K824" s="647"/>
      <c r="L824" s="707"/>
      <c r="M824" s="707"/>
      <c r="N824" s="707"/>
      <c r="O824" s="707"/>
      <c r="P824" s="707"/>
      <c r="Q824" s="707"/>
      <c r="R824" s="707"/>
      <c r="S824" s="707"/>
      <c r="T824" s="707"/>
      <c r="U824" s="707"/>
      <c r="V824" s="708"/>
      <c r="W824" s="644"/>
    </row>
    <row r="825" spans="1:23" ht="22.5" customHeight="1" thickTop="1" thickBot="1" x14ac:dyDescent="0.3">
      <c r="A825" s="451"/>
      <c r="B825" s="450"/>
      <c r="C825" s="450"/>
      <c r="D825" s="450"/>
      <c r="E825" s="450"/>
      <c r="F825" s="450"/>
      <c r="G825" s="450"/>
      <c r="H825" s="450"/>
      <c r="I825" s="450"/>
      <c r="J825" s="450"/>
      <c r="K825" s="647"/>
      <c r="L825" s="707"/>
      <c r="M825" s="707"/>
      <c r="N825" s="707"/>
      <c r="O825" s="707"/>
      <c r="P825" s="707"/>
      <c r="Q825" s="707"/>
      <c r="R825" s="707"/>
      <c r="S825" s="707"/>
      <c r="T825" s="707"/>
      <c r="U825" s="707"/>
      <c r="V825" s="708"/>
      <c r="W825" s="644"/>
    </row>
    <row r="826" spans="1:23" ht="22.5" customHeight="1" thickTop="1" thickBot="1" x14ac:dyDescent="0.3">
      <c r="A826" s="451"/>
      <c r="B826" s="450"/>
      <c r="C826" s="450"/>
      <c r="D826" s="450"/>
      <c r="E826" s="450"/>
      <c r="F826" s="450"/>
      <c r="G826" s="450"/>
      <c r="H826" s="450"/>
      <c r="I826" s="450"/>
      <c r="J826" s="450"/>
      <c r="K826" s="647"/>
      <c r="L826" s="707"/>
      <c r="M826" s="707"/>
      <c r="N826" s="707"/>
      <c r="O826" s="707"/>
      <c r="P826" s="707"/>
      <c r="Q826" s="707"/>
      <c r="R826" s="707"/>
      <c r="S826" s="707"/>
      <c r="T826" s="707"/>
      <c r="U826" s="707"/>
      <c r="V826" s="708"/>
      <c r="W826" s="644"/>
    </row>
    <row r="827" spans="1:23" ht="22.5" customHeight="1" thickTop="1" thickBot="1" x14ac:dyDescent="0.3">
      <c r="A827" s="451"/>
      <c r="B827" s="450"/>
      <c r="C827" s="450"/>
      <c r="D827" s="450"/>
      <c r="E827" s="450"/>
      <c r="F827" s="450"/>
      <c r="G827" s="450"/>
      <c r="H827" s="450"/>
      <c r="I827" s="450"/>
      <c r="J827" s="450"/>
      <c r="K827" s="647"/>
      <c r="L827" s="707"/>
      <c r="M827" s="707"/>
      <c r="N827" s="707"/>
      <c r="O827" s="707"/>
      <c r="P827" s="707"/>
      <c r="Q827" s="707"/>
      <c r="R827" s="707"/>
      <c r="S827" s="707"/>
      <c r="T827" s="707"/>
      <c r="U827" s="707"/>
      <c r="V827" s="708"/>
      <c r="W827" s="644"/>
    </row>
    <row r="828" spans="1:23" ht="22.5" customHeight="1" thickTop="1" thickBot="1" x14ac:dyDescent="0.3">
      <c r="A828" s="451"/>
      <c r="B828" s="450"/>
      <c r="C828" s="450"/>
      <c r="D828" s="450"/>
      <c r="E828" s="450"/>
      <c r="F828" s="450"/>
      <c r="G828" s="450"/>
      <c r="H828" s="450"/>
      <c r="I828" s="450"/>
      <c r="J828" s="450"/>
      <c r="K828" s="647"/>
      <c r="L828" s="707"/>
      <c r="M828" s="707"/>
      <c r="N828" s="707"/>
      <c r="O828" s="707"/>
      <c r="P828" s="707"/>
      <c r="Q828" s="707"/>
      <c r="R828" s="707"/>
      <c r="S828" s="707"/>
      <c r="T828" s="707"/>
      <c r="U828" s="707"/>
      <c r="V828" s="708"/>
      <c r="W828" s="644"/>
    </row>
    <row r="829" spans="1:23" ht="22.5" customHeight="1" thickTop="1" thickBot="1" x14ac:dyDescent="0.3">
      <c r="A829" s="451"/>
      <c r="B829" s="450"/>
      <c r="C829" s="450"/>
      <c r="D829" s="450"/>
      <c r="E829" s="450"/>
      <c r="F829" s="450"/>
      <c r="G829" s="450"/>
      <c r="H829" s="450"/>
      <c r="I829" s="450"/>
      <c r="J829" s="450"/>
      <c r="K829" s="647"/>
      <c r="L829" s="707"/>
      <c r="M829" s="707"/>
      <c r="N829" s="707"/>
      <c r="O829" s="707"/>
      <c r="P829" s="707"/>
      <c r="Q829" s="707"/>
      <c r="R829" s="707"/>
      <c r="S829" s="707"/>
      <c r="T829" s="707"/>
      <c r="U829" s="707"/>
      <c r="V829" s="708"/>
      <c r="W829" s="644"/>
    </row>
    <row r="830" spans="1:23" ht="22.5" customHeight="1" thickTop="1" thickBot="1" x14ac:dyDescent="0.3">
      <c r="A830" s="451"/>
      <c r="B830" s="450"/>
      <c r="C830" s="450"/>
      <c r="D830" s="450"/>
      <c r="E830" s="450"/>
      <c r="F830" s="450"/>
      <c r="G830" s="450"/>
      <c r="H830" s="450"/>
      <c r="I830" s="450"/>
      <c r="J830" s="450"/>
      <c r="K830" s="647"/>
      <c r="L830" s="707"/>
      <c r="M830" s="707"/>
      <c r="N830" s="707"/>
      <c r="O830" s="707"/>
      <c r="P830" s="707"/>
      <c r="Q830" s="707"/>
      <c r="R830" s="707"/>
      <c r="S830" s="707"/>
      <c r="T830" s="707"/>
      <c r="U830" s="707"/>
      <c r="V830" s="708"/>
      <c r="W830" s="644"/>
    </row>
    <row r="831" spans="1:23" ht="22.5" customHeight="1" thickTop="1" thickBot="1" x14ac:dyDescent="0.3">
      <c r="A831" s="451"/>
      <c r="B831" s="450"/>
      <c r="C831" s="450"/>
      <c r="D831" s="450"/>
      <c r="E831" s="450"/>
      <c r="F831" s="450"/>
      <c r="G831" s="450"/>
      <c r="H831" s="450"/>
      <c r="I831" s="450"/>
      <c r="J831" s="450"/>
      <c r="K831" s="647"/>
      <c r="L831" s="707"/>
      <c r="M831" s="707"/>
      <c r="N831" s="707"/>
      <c r="O831" s="707"/>
      <c r="P831" s="707"/>
      <c r="Q831" s="707"/>
      <c r="R831" s="707"/>
      <c r="S831" s="707"/>
      <c r="T831" s="707"/>
      <c r="U831" s="707"/>
      <c r="V831" s="708"/>
      <c r="W831" s="644"/>
    </row>
    <row r="832" spans="1:23" ht="22.5" customHeight="1" thickTop="1" thickBot="1" x14ac:dyDescent="0.3">
      <c r="A832" s="451"/>
      <c r="B832" s="450"/>
      <c r="C832" s="450"/>
      <c r="D832" s="450"/>
      <c r="E832" s="450"/>
      <c r="F832" s="450"/>
      <c r="G832" s="450"/>
      <c r="H832" s="450"/>
      <c r="I832" s="450"/>
      <c r="J832" s="450"/>
      <c r="K832" s="647"/>
      <c r="L832" s="707"/>
      <c r="M832" s="707"/>
      <c r="N832" s="707"/>
      <c r="O832" s="707"/>
      <c r="P832" s="707"/>
      <c r="Q832" s="707"/>
      <c r="R832" s="707"/>
      <c r="S832" s="707"/>
      <c r="T832" s="707"/>
      <c r="U832" s="707"/>
      <c r="V832" s="708"/>
      <c r="W832" s="644"/>
    </row>
    <row r="833" spans="1:23" ht="22.5" customHeight="1" thickTop="1" thickBot="1" x14ac:dyDescent="0.3">
      <c r="A833" s="451"/>
      <c r="B833" s="450"/>
      <c r="C833" s="450"/>
      <c r="D833" s="450"/>
      <c r="E833" s="450"/>
      <c r="F833" s="450"/>
      <c r="G833" s="450"/>
      <c r="H833" s="450"/>
      <c r="I833" s="450"/>
      <c r="J833" s="450"/>
      <c r="K833" s="647"/>
      <c r="L833" s="707"/>
      <c r="M833" s="707"/>
      <c r="N833" s="707"/>
      <c r="O833" s="707"/>
      <c r="P833" s="707"/>
      <c r="Q833" s="707"/>
      <c r="R833" s="707"/>
      <c r="S833" s="707"/>
      <c r="T833" s="707"/>
      <c r="U833" s="707"/>
      <c r="V833" s="708"/>
      <c r="W833" s="644"/>
    </row>
    <row r="834" spans="1:23" ht="22.5" customHeight="1" thickTop="1" thickBot="1" x14ac:dyDescent="0.3">
      <c r="A834" s="451"/>
      <c r="B834" s="450"/>
      <c r="C834" s="450"/>
      <c r="D834" s="450"/>
      <c r="E834" s="450"/>
      <c r="F834" s="450"/>
      <c r="G834" s="450"/>
      <c r="H834" s="450"/>
      <c r="I834" s="450"/>
      <c r="J834" s="450"/>
      <c r="K834" s="647"/>
      <c r="L834" s="707"/>
      <c r="M834" s="707"/>
      <c r="N834" s="707"/>
      <c r="O834" s="707"/>
      <c r="P834" s="707"/>
      <c r="Q834" s="707"/>
      <c r="R834" s="707"/>
      <c r="S834" s="707"/>
      <c r="T834" s="707"/>
      <c r="U834" s="707"/>
      <c r="V834" s="708"/>
      <c r="W834" s="644"/>
    </row>
    <row r="835" spans="1:23" ht="22.5" customHeight="1" thickTop="1" thickBot="1" x14ac:dyDescent="0.3">
      <c r="A835" s="451"/>
      <c r="B835" s="450"/>
      <c r="C835" s="450"/>
      <c r="D835" s="450"/>
      <c r="E835" s="450"/>
      <c r="F835" s="450"/>
      <c r="G835" s="450"/>
      <c r="H835" s="450"/>
      <c r="I835" s="450"/>
      <c r="J835" s="450"/>
      <c r="K835" s="647"/>
      <c r="L835" s="707"/>
      <c r="M835" s="707"/>
      <c r="N835" s="707"/>
      <c r="O835" s="707"/>
      <c r="P835" s="707"/>
      <c r="Q835" s="707"/>
      <c r="R835" s="707"/>
      <c r="S835" s="707"/>
      <c r="T835" s="707"/>
      <c r="U835" s="707"/>
      <c r="V835" s="708"/>
      <c r="W835" s="644"/>
    </row>
    <row r="836" spans="1:23" ht="22.5" customHeight="1" thickTop="1" thickBot="1" x14ac:dyDescent="0.3">
      <c r="A836" s="451"/>
      <c r="B836" s="450"/>
      <c r="C836" s="450"/>
      <c r="D836" s="450"/>
      <c r="E836" s="450"/>
      <c r="F836" s="450"/>
      <c r="G836" s="450"/>
      <c r="H836" s="450"/>
      <c r="I836" s="450"/>
      <c r="J836" s="450"/>
      <c r="K836" s="647"/>
      <c r="L836" s="707"/>
      <c r="M836" s="707"/>
      <c r="N836" s="707"/>
      <c r="O836" s="707"/>
      <c r="P836" s="707"/>
      <c r="Q836" s="707"/>
      <c r="R836" s="707"/>
      <c r="S836" s="707"/>
      <c r="T836" s="707"/>
      <c r="U836" s="707"/>
      <c r="V836" s="708"/>
      <c r="W836" s="644"/>
    </row>
    <row r="837" spans="1:23" ht="22.5" customHeight="1" thickTop="1" thickBot="1" x14ac:dyDescent="0.3">
      <c r="A837" s="451"/>
      <c r="B837" s="450"/>
      <c r="C837" s="450"/>
      <c r="D837" s="450"/>
      <c r="E837" s="450"/>
      <c r="F837" s="450"/>
      <c r="G837" s="450"/>
      <c r="H837" s="450"/>
      <c r="I837" s="450"/>
      <c r="J837" s="450"/>
      <c r="K837" s="647"/>
      <c r="L837" s="707"/>
      <c r="M837" s="707"/>
      <c r="N837" s="707"/>
      <c r="O837" s="707"/>
      <c r="P837" s="707"/>
      <c r="Q837" s="707"/>
      <c r="R837" s="707"/>
      <c r="S837" s="707"/>
      <c r="T837" s="707"/>
      <c r="U837" s="707"/>
      <c r="V837" s="708"/>
      <c r="W837" s="644"/>
    </row>
    <row r="838" spans="1:23" ht="22.5" customHeight="1" thickTop="1" thickBot="1" x14ac:dyDescent="0.3">
      <c r="A838" s="451"/>
      <c r="B838" s="450"/>
      <c r="C838" s="450"/>
      <c r="D838" s="450"/>
      <c r="E838" s="450"/>
      <c r="F838" s="450"/>
      <c r="G838" s="450"/>
      <c r="H838" s="450"/>
      <c r="I838" s="450"/>
      <c r="J838" s="450"/>
      <c r="K838" s="647"/>
      <c r="L838" s="707"/>
      <c r="M838" s="707"/>
      <c r="N838" s="707"/>
      <c r="O838" s="707"/>
      <c r="P838" s="707"/>
      <c r="Q838" s="707"/>
      <c r="R838" s="707"/>
      <c r="S838" s="707"/>
      <c r="T838" s="707"/>
      <c r="U838" s="707"/>
      <c r="V838" s="708"/>
      <c r="W838" s="644"/>
    </row>
    <row r="839" spans="1:23" ht="22.5" customHeight="1" thickTop="1" thickBot="1" x14ac:dyDescent="0.3">
      <c r="A839" s="451"/>
      <c r="B839" s="450"/>
      <c r="C839" s="450"/>
      <c r="D839" s="450"/>
      <c r="E839" s="450"/>
      <c r="F839" s="450"/>
      <c r="G839" s="450"/>
      <c r="H839" s="450"/>
      <c r="I839" s="450"/>
      <c r="J839" s="450"/>
      <c r="K839" s="647"/>
      <c r="L839" s="707"/>
      <c r="M839" s="707"/>
      <c r="N839" s="707"/>
      <c r="O839" s="707"/>
      <c r="P839" s="707"/>
      <c r="Q839" s="707"/>
      <c r="R839" s="707"/>
      <c r="S839" s="707"/>
      <c r="T839" s="707"/>
      <c r="U839" s="707"/>
      <c r="V839" s="708"/>
      <c r="W839" s="644"/>
    </row>
    <row r="840" spans="1:23" ht="22.5" customHeight="1" thickTop="1" thickBot="1" x14ac:dyDescent="0.3">
      <c r="A840" s="451"/>
      <c r="B840" s="450"/>
      <c r="C840" s="450"/>
      <c r="D840" s="450"/>
      <c r="E840" s="450"/>
      <c r="F840" s="450"/>
      <c r="G840" s="450"/>
      <c r="H840" s="450"/>
      <c r="I840" s="450"/>
      <c r="J840" s="450"/>
      <c r="K840" s="647"/>
      <c r="L840" s="707"/>
      <c r="M840" s="707"/>
      <c r="N840" s="707"/>
      <c r="O840" s="707"/>
      <c r="P840" s="707"/>
      <c r="Q840" s="707"/>
      <c r="R840" s="707"/>
      <c r="S840" s="707"/>
      <c r="T840" s="707"/>
      <c r="U840" s="707"/>
      <c r="V840" s="708"/>
      <c r="W840" s="644"/>
    </row>
    <row r="841" spans="1:23" ht="22.5" customHeight="1" thickTop="1" thickBot="1" x14ac:dyDescent="0.3">
      <c r="A841" s="451"/>
      <c r="B841" s="450"/>
      <c r="C841" s="450"/>
      <c r="D841" s="450"/>
      <c r="E841" s="450"/>
      <c r="F841" s="450"/>
      <c r="G841" s="450"/>
      <c r="H841" s="450"/>
      <c r="I841" s="450"/>
      <c r="J841" s="450"/>
      <c r="K841" s="647"/>
      <c r="L841" s="707"/>
      <c r="M841" s="707"/>
      <c r="N841" s="707"/>
      <c r="O841" s="707"/>
      <c r="P841" s="707"/>
      <c r="Q841" s="707"/>
      <c r="R841" s="707"/>
      <c r="S841" s="707"/>
      <c r="T841" s="707"/>
      <c r="U841" s="707"/>
      <c r="V841" s="708"/>
      <c r="W841" s="644"/>
    </row>
    <row r="842" spans="1:23" ht="22.5" customHeight="1" thickTop="1" thickBot="1" x14ac:dyDescent="0.3">
      <c r="A842" s="451"/>
      <c r="B842" s="450"/>
      <c r="C842" s="450"/>
      <c r="D842" s="450"/>
      <c r="E842" s="450"/>
      <c r="F842" s="450"/>
      <c r="G842" s="450"/>
      <c r="H842" s="450"/>
      <c r="I842" s="450"/>
      <c r="J842" s="450"/>
      <c r="K842" s="647"/>
      <c r="L842" s="707"/>
      <c r="M842" s="707"/>
      <c r="N842" s="707"/>
      <c r="O842" s="707"/>
      <c r="P842" s="707"/>
      <c r="Q842" s="707"/>
      <c r="R842" s="707"/>
      <c r="S842" s="707"/>
      <c r="T842" s="707"/>
      <c r="U842" s="707"/>
      <c r="V842" s="708"/>
      <c r="W842" s="644"/>
    </row>
    <row r="843" spans="1:23" ht="22.5" customHeight="1" thickTop="1" thickBot="1" x14ac:dyDescent="0.3">
      <c r="A843" s="451"/>
      <c r="B843" s="450"/>
      <c r="C843" s="450"/>
      <c r="D843" s="450"/>
      <c r="E843" s="450"/>
      <c r="F843" s="450"/>
      <c r="G843" s="450"/>
      <c r="H843" s="450"/>
      <c r="I843" s="450"/>
      <c r="J843" s="450"/>
      <c r="K843" s="647"/>
      <c r="L843" s="707"/>
      <c r="M843" s="707"/>
      <c r="N843" s="707"/>
      <c r="O843" s="707"/>
      <c r="P843" s="707"/>
      <c r="Q843" s="707"/>
      <c r="R843" s="707"/>
      <c r="S843" s="707"/>
      <c r="T843" s="707"/>
      <c r="U843" s="707"/>
      <c r="V843" s="708"/>
      <c r="W843" s="644"/>
    </row>
    <row r="844" spans="1:23" ht="22.5" customHeight="1" thickTop="1" thickBot="1" x14ac:dyDescent="0.3">
      <c r="A844" s="451"/>
      <c r="B844" s="450"/>
      <c r="C844" s="450"/>
      <c r="D844" s="450"/>
      <c r="E844" s="450"/>
      <c r="F844" s="450"/>
      <c r="G844" s="450"/>
      <c r="H844" s="450"/>
      <c r="I844" s="450"/>
      <c r="J844" s="450"/>
      <c r="K844" s="647"/>
      <c r="L844" s="707"/>
      <c r="M844" s="707"/>
      <c r="N844" s="707"/>
      <c r="O844" s="707"/>
      <c r="P844" s="707"/>
      <c r="Q844" s="707"/>
      <c r="R844" s="707"/>
      <c r="S844" s="707"/>
      <c r="T844" s="707"/>
      <c r="U844" s="707"/>
      <c r="V844" s="708"/>
      <c r="W844" s="644"/>
    </row>
    <row r="845" spans="1:23" ht="22.5" customHeight="1" thickTop="1" thickBot="1" x14ac:dyDescent="0.3">
      <c r="A845" s="451"/>
      <c r="B845" s="450"/>
      <c r="C845" s="450"/>
      <c r="D845" s="450"/>
      <c r="E845" s="450"/>
      <c r="F845" s="450"/>
      <c r="G845" s="450"/>
      <c r="H845" s="450"/>
      <c r="I845" s="450"/>
      <c r="J845" s="450"/>
      <c r="K845" s="647"/>
      <c r="L845" s="707"/>
      <c r="M845" s="707"/>
      <c r="N845" s="707"/>
      <c r="O845" s="707"/>
      <c r="P845" s="707"/>
      <c r="Q845" s="707"/>
      <c r="R845" s="707"/>
      <c r="S845" s="707"/>
      <c r="T845" s="707"/>
      <c r="U845" s="707"/>
      <c r="V845" s="708"/>
      <c r="W845" s="644"/>
    </row>
    <row r="846" spans="1:23" ht="22.5" customHeight="1" thickTop="1" thickBot="1" x14ac:dyDescent="0.3">
      <c r="A846" s="451"/>
      <c r="B846" s="450"/>
      <c r="C846" s="450"/>
      <c r="D846" s="450"/>
      <c r="E846" s="450"/>
      <c r="F846" s="450"/>
      <c r="G846" s="450"/>
      <c r="H846" s="450"/>
      <c r="I846" s="450"/>
      <c r="J846" s="450"/>
      <c r="K846" s="647"/>
      <c r="L846" s="707"/>
      <c r="M846" s="707"/>
      <c r="N846" s="707"/>
      <c r="O846" s="707"/>
      <c r="P846" s="707"/>
      <c r="Q846" s="707"/>
      <c r="R846" s="707"/>
      <c r="S846" s="707"/>
      <c r="T846" s="707"/>
      <c r="U846" s="707"/>
      <c r="V846" s="708"/>
      <c r="W846" s="644"/>
    </row>
    <row r="847" spans="1:23" ht="22.5" customHeight="1" thickTop="1" thickBot="1" x14ac:dyDescent="0.3">
      <c r="A847" s="451"/>
      <c r="B847" s="450"/>
      <c r="C847" s="450"/>
      <c r="D847" s="450"/>
      <c r="E847" s="450"/>
      <c r="F847" s="450"/>
      <c r="G847" s="450"/>
      <c r="H847" s="450"/>
      <c r="I847" s="450"/>
      <c r="J847" s="450"/>
      <c r="K847" s="647"/>
      <c r="L847" s="707"/>
      <c r="M847" s="707"/>
      <c r="N847" s="707"/>
      <c r="O847" s="707"/>
      <c r="P847" s="707"/>
      <c r="Q847" s="707"/>
      <c r="R847" s="707"/>
      <c r="S847" s="707"/>
      <c r="T847" s="707"/>
      <c r="U847" s="707"/>
      <c r="V847" s="708"/>
      <c r="W847" s="644"/>
    </row>
    <row r="848" spans="1:23" ht="22.5" customHeight="1" thickTop="1" thickBot="1" x14ac:dyDescent="0.3">
      <c r="A848" s="451"/>
      <c r="B848" s="450"/>
      <c r="C848" s="450"/>
      <c r="D848" s="450"/>
      <c r="E848" s="450"/>
      <c r="F848" s="450"/>
      <c r="G848" s="450"/>
      <c r="H848" s="450"/>
      <c r="I848" s="450"/>
      <c r="J848" s="450"/>
      <c r="K848" s="647"/>
      <c r="L848" s="707"/>
      <c r="M848" s="707"/>
      <c r="N848" s="707"/>
      <c r="O848" s="707"/>
      <c r="P848" s="707"/>
      <c r="Q848" s="707"/>
      <c r="R848" s="707"/>
      <c r="S848" s="707"/>
      <c r="T848" s="707"/>
      <c r="U848" s="707"/>
      <c r="V848" s="708"/>
      <c r="W848" s="644"/>
    </row>
    <row r="849" spans="1:23" ht="22.5" customHeight="1" thickTop="1" thickBot="1" x14ac:dyDescent="0.3">
      <c r="A849" s="451"/>
      <c r="B849" s="450"/>
      <c r="C849" s="450"/>
      <c r="D849" s="450"/>
      <c r="E849" s="450"/>
      <c r="F849" s="450"/>
      <c r="G849" s="450"/>
      <c r="H849" s="450"/>
      <c r="I849" s="450"/>
      <c r="J849" s="450"/>
      <c r="K849" s="647"/>
      <c r="L849" s="707"/>
      <c r="M849" s="707"/>
      <c r="N849" s="707"/>
      <c r="O849" s="707"/>
      <c r="P849" s="707"/>
      <c r="Q849" s="707"/>
      <c r="R849" s="707"/>
      <c r="S849" s="707"/>
      <c r="T849" s="707"/>
      <c r="U849" s="707"/>
      <c r="V849" s="708"/>
      <c r="W849" s="644"/>
    </row>
    <row r="850" spans="1:23" ht="22.5" customHeight="1" thickTop="1" thickBot="1" x14ac:dyDescent="0.3">
      <c r="A850" s="451"/>
      <c r="B850" s="450"/>
      <c r="C850" s="450"/>
      <c r="D850" s="450"/>
      <c r="E850" s="450"/>
      <c r="F850" s="450"/>
      <c r="G850" s="450"/>
      <c r="H850" s="450"/>
      <c r="I850" s="450"/>
      <c r="J850" s="450"/>
      <c r="K850" s="647"/>
      <c r="L850" s="707"/>
      <c r="M850" s="707"/>
      <c r="N850" s="707"/>
      <c r="O850" s="707"/>
      <c r="P850" s="707"/>
      <c r="Q850" s="707"/>
      <c r="R850" s="707"/>
      <c r="S850" s="707"/>
      <c r="T850" s="707"/>
      <c r="U850" s="707"/>
      <c r="V850" s="708"/>
      <c r="W850" s="644"/>
    </row>
    <row r="851" spans="1:23" ht="22.5" customHeight="1" thickTop="1" thickBot="1" x14ac:dyDescent="0.3">
      <c r="A851" s="451"/>
      <c r="B851" s="450"/>
      <c r="C851" s="450"/>
      <c r="D851" s="450"/>
      <c r="E851" s="450"/>
      <c r="F851" s="450"/>
      <c r="G851" s="450"/>
      <c r="H851" s="450"/>
      <c r="I851" s="450"/>
      <c r="J851" s="450"/>
      <c r="K851" s="647"/>
      <c r="L851" s="707"/>
      <c r="M851" s="707"/>
      <c r="N851" s="707"/>
      <c r="O851" s="707"/>
      <c r="P851" s="707"/>
      <c r="Q851" s="707"/>
      <c r="R851" s="707"/>
      <c r="S851" s="707"/>
      <c r="T851" s="707"/>
      <c r="U851" s="707"/>
      <c r="V851" s="708"/>
      <c r="W851" s="644"/>
    </row>
    <row r="852" spans="1:23" ht="22.5" customHeight="1" thickTop="1" thickBot="1" x14ac:dyDescent="0.3">
      <c r="A852" s="451"/>
      <c r="B852" s="450"/>
      <c r="C852" s="450"/>
      <c r="D852" s="450"/>
      <c r="E852" s="450"/>
      <c r="F852" s="450"/>
      <c r="G852" s="450"/>
      <c r="H852" s="450"/>
      <c r="I852" s="450"/>
      <c r="J852" s="450"/>
      <c r="K852" s="647"/>
      <c r="L852" s="707"/>
      <c r="M852" s="707"/>
      <c r="N852" s="707"/>
      <c r="O852" s="707"/>
      <c r="P852" s="707"/>
      <c r="Q852" s="707"/>
      <c r="R852" s="707"/>
      <c r="S852" s="707"/>
      <c r="T852" s="707"/>
      <c r="U852" s="707"/>
      <c r="V852" s="708"/>
      <c r="W852" s="644"/>
    </row>
    <row r="853" spans="1:23" ht="22.5" customHeight="1" thickTop="1" thickBot="1" x14ac:dyDescent="0.3">
      <c r="A853" s="451"/>
      <c r="B853" s="450"/>
      <c r="C853" s="450"/>
      <c r="D853" s="450"/>
      <c r="E853" s="450"/>
      <c r="F853" s="450"/>
      <c r="G853" s="450"/>
      <c r="H853" s="450"/>
      <c r="I853" s="450"/>
      <c r="J853" s="450"/>
      <c r="K853" s="647"/>
      <c r="L853" s="707"/>
      <c r="M853" s="707"/>
      <c r="N853" s="707"/>
      <c r="O853" s="707"/>
      <c r="P853" s="707"/>
      <c r="Q853" s="707"/>
      <c r="R853" s="707"/>
      <c r="S853" s="707"/>
      <c r="T853" s="707"/>
      <c r="U853" s="707"/>
      <c r="V853" s="708"/>
      <c r="W853" s="644"/>
    </row>
    <row r="854" spans="1:23" ht="22.5" customHeight="1" thickTop="1" thickBot="1" x14ac:dyDescent="0.3">
      <c r="A854" s="451"/>
      <c r="B854" s="450"/>
      <c r="C854" s="450"/>
      <c r="D854" s="450"/>
      <c r="E854" s="450"/>
      <c r="F854" s="450"/>
      <c r="G854" s="450"/>
      <c r="H854" s="450"/>
      <c r="I854" s="450"/>
      <c r="J854" s="450"/>
      <c r="K854" s="647"/>
      <c r="L854" s="707"/>
      <c r="M854" s="707"/>
      <c r="N854" s="707"/>
      <c r="O854" s="707"/>
      <c r="P854" s="707"/>
      <c r="Q854" s="707"/>
      <c r="R854" s="707"/>
      <c r="S854" s="707"/>
      <c r="T854" s="707"/>
      <c r="U854" s="707"/>
      <c r="V854" s="708"/>
      <c r="W854" s="644"/>
    </row>
    <row r="855" spans="1:23" ht="22.5" customHeight="1" thickTop="1" thickBot="1" x14ac:dyDescent="0.3">
      <c r="A855" s="451"/>
      <c r="B855" s="450"/>
      <c r="C855" s="450"/>
      <c r="D855" s="450"/>
      <c r="E855" s="450"/>
      <c r="F855" s="450"/>
      <c r="G855" s="450"/>
      <c r="H855" s="450"/>
      <c r="I855" s="450"/>
      <c r="J855" s="450"/>
      <c r="K855" s="647"/>
      <c r="L855" s="707"/>
      <c r="M855" s="707"/>
      <c r="N855" s="707"/>
      <c r="O855" s="707"/>
      <c r="P855" s="707"/>
      <c r="Q855" s="707"/>
      <c r="R855" s="707"/>
      <c r="S855" s="707"/>
      <c r="T855" s="707"/>
      <c r="U855" s="707"/>
      <c r="V855" s="708"/>
      <c r="W855" s="644"/>
    </row>
    <row r="856" spans="1:23" ht="22.5" customHeight="1" thickTop="1" thickBot="1" x14ac:dyDescent="0.3">
      <c r="A856" s="451"/>
      <c r="B856" s="450"/>
      <c r="C856" s="450"/>
      <c r="D856" s="450"/>
      <c r="E856" s="450"/>
      <c r="F856" s="450"/>
      <c r="G856" s="450"/>
      <c r="H856" s="450"/>
      <c r="I856" s="450"/>
      <c r="J856" s="450"/>
      <c r="K856" s="647"/>
      <c r="L856" s="707"/>
      <c r="M856" s="707"/>
      <c r="N856" s="707"/>
      <c r="O856" s="707"/>
      <c r="P856" s="707"/>
      <c r="Q856" s="707"/>
      <c r="R856" s="707"/>
      <c r="S856" s="707"/>
      <c r="T856" s="707"/>
      <c r="U856" s="707"/>
      <c r="V856" s="708"/>
      <c r="W856" s="644"/>
    </row>
    <row r="857" spans="1:23" ht="22.5" customHeight="1" thickTop="1" thickBot="1" x14ac:dyDescent="0.3">
      <c r="A857" s="451"/>
      <c r="B857" s="450"/>
      <c r="C857" s="450"/>
      <c r="D857" s="450"/>
      <c r="E857" s="450"/>
      <c r="F857" s="450"/>
      <c r="G857" s="450"/>
      <c r="H857" s="450"/>
      <c r="I857" s="450"/>
      <c r="J857" s="450"/>
      <c r="K857" s="647"/>
      <c r="L857" s="707"/>
      <c r="M857" s="707"/>
      <c r="N857" s="707"/>
      <c r="O857" s="707"/>
      <c r="P857" s="707"/>
      <c r="Q857" s="707"/>
      <c r="R857" s="707"/>
      <c r="S857" s="707"/>
      <c r="T857" s="707"/>
      <c r="U857" s="707"/>
      <c r="V857" s="708"/>
      <c r="W857" s="644"/>
    </row>
    <row r="858" spans="1:23" ht="22.5" customHeight="1" thickTop="1" thickBot="1" x14ac:dyDescent="0.3">
      <c r="A858" s="451"/>
      <c r="B858" s="450"/>
      <c r="C858" s="450"/>
      <c r="D858" s="450"/>
      <c r="E858" s="450"/>
      <c r="F858" s="450"/>
      <c r="G858" s="450"/>
      <c r="H858" s="450"/>
      <c r="I858" s="450"/>
      <c r="J858" s="450"/>
      <c r="K858" s="647"/>
      <c r="L858" s="707"/>
      <c r="M858" s="707"/>
      <c r="N858" s="707"/>
      <c r="O858" s="707"/>
      <c r="P858" s="707"/>
      <c r="Q858" s="707"/>
      <c r="R858" s="707"/>
      <c r="S858" s="707"/>
      <c r="T858" s="707"/>
      <c r="U858" s="707"/>
      <c r="V858" s="708"/>
      <c r="W858" s="644"/>
    </row>
    <row r="859" spans="1:23" ht="22.5" customHeight="1" thickTop="1" thickBot="1" x14ac:dyDescent="0.3">
      <c r="A859" s="451"/>
      <c r="B859" s="450"/>
      <c r="C859" s="450"/>
      <c r="D859" s="450"/>
      <c r="E859" s="450"/>
      <c r="F859" s="450"/>
      <c r="G859" s="450"/>
      <c r="H859" s="450"/>
      <c r="I859" s="450"/>
      <c r="J859" s="450"/>
      <c r="K859" s="647"/>
      <c r="L859" s="707"/>
      <c r="M859" s="707"/>
      <c r="N859" s="707"/>
      <c r="O859" s="707"/>
      <c r="P859" s="707"/>
      <c r="Q859" s="707"/>
      <c r="R859" s="707"/>
      <c r="S859" s="707"/>
      <c r="T859" s="707"/>
      <c r="U859" s="707"/>
      <c r="V859" s="708"/>
      <c r="W859" s="644"/>
    </row>
    <row r="860" spans="1:23" ht="22.5" customHeight="1" thickTop="1" thickBot="1" x14ac:dyDescent="0.3">
      <c r="A860" s="451"/>
      <c r="B860" s="450"/>
      <c r="C860" s="450"/>
      <c r="D860" s="450"/>
      <c r="E860" s="450"/>
      <c r="F860" s="450"/>
      <c r="G860" s="450"/>
      <c r="H860" s="450"/>
      <c r="I860" s="450"/>
      <c r="J860" s="450"/>
      <c r="K860" s="709"/>
      <c r="L860" s="710"/>
      <c r="M860" s="710"/>
      <c r="N860" s="710"/>
      <c r="O860" s="710"/>
      <c r="P860" s="710"/>
      <c r="Q860" s="710"/>
      <c r="R860" s="710"/>
      <c r="S860" s="710"/>
      <c r="T860" s="710"/>
      <c r="U860" s="710"/>
      <c r="V860" s="711"/>
      <c r="W860" s="644"/>
    </row>
    <row r="861" spans="1:23" ht="22.5" customHeight="1" thickTop="1" thickBot="1" x14ac:dyDescent="0.3">
      <c r="A861" s="451"/>
      <c r="B861" s="450"/>
      <c r="C861" s="450"/>
      <c r="D861" s="450"/>
      <c r="E861" s="450"/>
      <c r="F861" s="450"/>
      <c r="G861" s="450"/>
      <c r="H861" s="450"/>
      <c r="I861" s="450"/>
      <c r="J861" s="450"/>
      <c r="K861" s="647"/>
      <c r="L861" s="712"/>
      <c r="M861" s="712"/>
      <c r="N861" s="712"/>
      <c r="O861" s="712"/>
      <c r="P861" s="712"/>
      <c r="Q861" s="712"/>
      <c r="R861" s="712"/>
      <c r="S861" s="712"/>
      <c r="T861" s="712"/>
      <c r="U861" s="712"/>
      <c r="V861" s="712"/>
      <c r="W861" s="644"/>
    </row>
    <row r="862" spans="1:23" ht="22.5" customHeight="1" thickTop="1" thickBot="1" x14ac:dyDescent="0.3">
      <c r="A862" s="451"/>
      <c r="B862" s="450"/>
      <c r="C862" s="450"/>
      <c r="D862" s="450"/>
      <c r="E862" s="450"/>
      <c r="F862" s="450"/>
      <c r="G862" s="450"/>
      <c r="H862" s="450"/>
      <c r="I862" s="450"/>
      <c r="J862" s="450"/>
      <c r="K862" s="647"/>
      <c r="L862" s="712"/>
      <c r="M862" s="712"/>
      <c r="N862" s="712"/>
      <c r="O862" s="712"/>
      <c r="P862" s="712"/>
      <c r="Q862" s="712"/>
      <c r="R862" s="712"/>
      <c r="S862" s="712"/>
      <c r="T862" s="712"/>
      <c r="U862" s="712"/>
      <c r="V862" s="712"/>
      <c r="W862" s="644"/>
    </row>
    <row r="863" spans="1:23" ht="22.5" customHeight="1" thickTop="1" thickBot="1" x14ac:dyDescent="0.3">
      <c r="A863" s="451"/>
      <c r="B863" s="450"/>
      <c r="C863" s="450"/>
      <c r="D863" s="450"/>
      <c r="E863" s="450"/>
      <c r="F863" s="450"/>
      <c r="G863" s="450"/>
      <c r="H863" s="450"/>
      <c r="I863" s="450"/>
      <c r="J863" s="450"/>
      <c r="K863" s="647"/>
      <c r="L863" s="712"/>
      <c r="M863" s="712"/>
      <c r="N863" s="712"/>
      <c r="O863" s="712"/>
      <c r="P863" s="712"/>
      <c r="Q863" s="712"/>
      <c r="R863" s="712"/>
      <c r="S863" s="712"/>
      <c r="T863" s="712"/>
      <c r="U863" s="712"/>
      <c r="V863" s="712"/>
      <c r="W863" s="644"/>
    </row>
    <row r="864" spans="1:23" ht="22.5" customHeight="1" thickTop="1" thickBot="1" x14ac:dyDescent="0.3">
      <c r="A864" s="451"/>
      <c r="B864" s="450"/>
      <c r="C864" s="450"/>
      <c r="D864" s="450"/>
      <c r="E864" s="450"/>
      <c r="F864" s="450"/>
      <c r="G864" s="450"/>
      <c r="H864" s="450"/>
      <c r="I864" s="450"/>
      <c r="J864" s="450"/>
      <c r="K864" s="647"/>
      <c r="L864" s="712"/>
      <c r="M864" s="712"/>
      <c r="N864" s="712"/>
      <c r="O864" s="712"/>
      <c r="P864" s="712"/>
      <c r="Q864" s="712"/>
      <c r="R864" s="712"/>
      <c r="S864" s="712"/>
      <c r="T864" s="712"/>
      <c r="U864" s="712"/>
      <c r="V864" s="712"/>
      <c r="W864" s="644"/>
    </row>
    <row r="865" spans="1:23" ht="22.5" customHeight="1" thickTop="1" thickBot="1" x14ac:dyDescent="0.3">
      <c r="A865" s="451"/>
      <c r="B865" s="450"/>
      <c r="C865" s="450"/>
      <c r="D865" s="450"/>
      <c r="E865" s="450"/>
      <c r="F865" s="450"/>
      <c r="G865" s="450"/>
      <c r="H865" s="450"/>
      <c r="I865" s="450"/>
      <c r="J865" s="450"/>
      <c r="K865" s="647"/>
      <c r="L865" s="712"/>
      <c r="M865" s="712"/>
      <c r="N865" s="712"/>
      <c r="O865" s="712"/>
      <c r="P865" s="712"/>
      <c r="Q865" s="712"/>
      <c r="R865" s="712"/>
      <c r="S865" s="712"/>
      <c r="T865" s="712"/>
      <c r="U865" s="712"/>
      <c r="V865" s="712"/>
      <c r="W865" s="644"/>
    </row>
    <row r="866" spans="1:23" ht="22.5" customHeight="1" thickTop="1" thickBot="1" x14ac:dyDescent="0.3">
      <c r="A866" s="451"/>
      <c r="B866" s="450"/>
      <c r="C866" s="450"/>
      <c r="D866" s="450"/>
      <c r="E866" s="450"/>
      <c r="F866" s="450"/>
      <c r="G866" s="450"/>
      <c r="H866" s="450"/>
      <c r="I866" s="450"/>
      <c r="J866" s="450"/>
      <c r="K866" s="647"/>
      <c r="L866" s="712"/>
      <c r="M866" s="712"/>
      <c r="N866" s="712"/>
      <c r="O866" s="712"/>
      <c r="P866" s="712"/>
      <c r="Q866" s="712"/>
      <c r="R866" s="712"/>
      <c r="S866" s="712"/>
      <c r="T866" s="712"/>
      <c r="U866" s="712"/>
      <c r="V866" s="712"/>
      <c r="W866" s="644"/>
    </row>
    <row r="867" spans="1:23" ht="22.5" customHeight="1" thickTop="1" thickBot="1" x14ac:dyDescent="0.3">
      <c r="A867" s="451"/>
      <c r="B867" s="450"/>
      <c r="C867" s="450"/>
      <c r="D867" s="450"/>
      <c r="E867" s="450"/>
      <c r="F867" s="450"/>
      <c r="G867" s="450"/>
      <c r="H867" s="450"/>
      <c r="I867" s="450"/>
      <c r="J867" s="450"/>
      <c r="K867" s="647"/>
      <c r="L867" s="712"/>
      <c r="M867" s="712"/>
      <c r="N867" s="712"/>
      <c r="O867" s="712"/>
      <c r="P867" s="712"/>
      <c r="Q867" s="712"/>
      <c r="R867" s="712"/>
      <c r="S867" s="712"/>
      <c r="T867" s="712"/>
      <c r="U867" s="712"/>
      <c r="V867" s="712"/>
      <c r="W867" s="644"/>
    </row>
    <row r="868" spans="1:23" ht="22.5" customHeight="1" thickTop="1" thickBot="1" x14ac:dyDescent="0.3">
      <c r="A868" s="451"/>
      <c r="B868" s="450"/>
      <c r="C868" s="450"/>
      <c r="D868" s="450"/>
      <c r="E868" s="450"/>
      <c r="F868" s="450"/>
      <c r="G868" s="450"/>
      <c r="H868" s="450"/>
      <c r="I868" s="450"/>
      <c r="J868" s="450"/>
      <c r="K868" s="647"/>
      <c r="L868" s="712"/>
      <c r="M868" s="712"/>
      <c r="N868" s="712"/>
      <c r="O868" s="712"/>
      <c r="P868" s="712"/>
      <c r="Q868" s="712"/>
      <c r="R868" s="712"/>
      <c r="S868" s="712"/>
      <c r="T868" s="712"/>
      <c r="U868" s="712"/>
      <c r="V868" s="712"/>
      <c r="W868" s="644"/>
    </row>
    <row r="869" spans="1:23" ht="22.5" customHeight="1" thickTop="1" thickBot="1" x14ac:dyDescent="0.3">
      <c r="A869" s="451"/>
      <c r="B869" s="450"/>
      <c r="C869" s="450"/>
      <c r="D869" s="450"/>
      <c r="E869" s="450"/>
      <c r="F869" s="450"/>
      <c r="G869" s="450"/>
      <c r="H869" s="450"/>
      <c r="I869" s="450"/>
      <c r="J869" s="450"/>
      <c r="K869" s="647"/>
      <c r="L869" s="712"/>
      <c r="M869" s="712"/>
      <c r="N869" s="712"/>
      <c r="O869" s="712"/>
      <c r="P869" s="712"/>
      <c r="Q869" s="712"/>
      <c r="R869" s="712"/>
      <c r="S869" s="712"/>
      <c r="T869" s="712"/>
      <c r="U869" s="712"/>
      <c r="V869" s="712"/>
      <c r="W869" s="644"/>
    </row>
    <row r="870" spans="1:23" ht="22.5" customHeight="1" thickTop="1" thickBot="1" x14ac:dyDescent="0.3">
      <c r="A870" s="451"/>
      <c r="B870" s="450"/>
      <c r="C870" s="450"/>
      <c r="D870" s="450"/>
      <c r="E870" s="450"/>
      <c r="F870" s="450"/>
      <c r="G870" s="450"/>
      <c r="H870" s="450"/>
      <c r="I870" s="450"/>
      <c r="J870" s="450"/>
      <c r="K870" s="647"/>
      <c r="L870" s="712"/>
      <c r="M870" s="712"/>
      <c r="N870" s="712"/>
      <c r="O870" s="712"/>
      <c r="P870" s="712"/>
      <c r="Q870" s="712"/>
      <c r="R870" s="712"/>
      <c r="S870" s="712"/>
      <c r="T870" s="712"/>
      <c r="U870" s="712"/>
      <c r="V870" s="712"/>
      <c r="W870" s="644"/>
    </row>
    <row r="871" spans="1:23" ht="22.5" customHeight="1" thickTop="1" thickBot="1" x14ac:dyDescent="0.3">
      <c r="A871" s="451"/>
      <c r="B871" s="450"/>
      <c r="C871" s="450"/>
      <c r="D871" s="450"/>
      <c r="E871" s="450"/>
      <c r="F871" s="450"/>
      <c r="G871" s="450"/>
      <c r="H871" s="450"/>
      <c r="I871" s="450"/>
      <c r="J871" s="450"/>
      <c r="K871" s="647"/>
      <c r="L871" s="712"/>
      <c r="M871" s="712"/>
      <c r="N871" s="712"/>
      <c r="O871" s="712"/>
      <c r="P871" s="712"/>
      <c r="Q871" s="712"/>
      <c r="R871" s="712"/>
      <c r="S871" s="712"/>
      <c r="T871" s="712"/>
      <c r="U871" s="712"/>
      <c r="V871" s="712"/>
      <c r="W871" s="644"/>
    </row>
    <row r="872" spans="1:23" ht="22.5" customHeight="1" thickTop="1" thickBot="1" x14ac:dyDescent="0.3">
      <c r="A872" s="451"/>
      <c r="B872" s="450"/>
      <c r="C872" s="450"/>
      <c r="D872" s="450"/>
      <c r="E872" s="450"/>
      <c r="F872" s="450"/>
      <c r="G872" s="450"/>
      <c r="H872" s="450"/>
      <c r="I872" s="450"/>
      <c r="J872" s="450"/>
      <c r="K872" s="647"/>
      <c r="L872" s="712"/>
      <c r="M872" s="712"/>
      <c r="N872" s="712"/>
      <c r="O872" s="712"/>
      <c r="P872" s="712"/>
      <c r="Q872" s="712"/>
      <c r="R872" s="712"/>
      <c r="S872" s="712"/>
      <c r="T872" s="712"/>
      <c r="U872" s="712"/>
      <c r="V872" s="712"/>
      <c r="W872" s="644"/>
    </row>
    <row r="873" spans="1:23" ht="22.5" customHeight="1" thickTop="1" thickBot="1" x14ac:dyDescent="0.3">
      <c r="A873" s="451"/>
      <c r="B873" s="450"/>
      <c r="C873" s="450"/>
      <c r="D873" s="450"/>
      <c r="E873" s="450"/>
      <c r="F873" s="450"/>
      <c r="G873" s="450"/>
      <c r="H873" s="450"/>
      <c r="I873" s="450"/>
      <c r="J873" s="450"/>
      <c r="K873" s="647"/>
      <c r="L873" s="712"/>
      <c r="M873" s="712"/>
      <c r="N873" s="712"/>
      <c r="O873" s="712"/>
      <c r="P873" s="712"/>
      <c r="Q873" s="712"/>
      <c r="R873" s="712"/>
      <c r="S873" s="712"/>
      <c r="T873" s="712"/>
      <c r="U873" s="712"/>
      <c r="V873" s="712"/>
      <c r="W873" s="644"/>
    </row>
    <row r="874" spans="1:23" ht="22.5" customHeight="1" thickTop="1" thickBot="1" x14ac:dyDescent="0.3">
      <c r="A874" s="451"/>
      <c r="B874" s="450"/>
      <c r="C874" s="450"/>
      <c r="D874" s="450"/>
      <c r="E874" s="450"/>
      <c r="F874" s="450"/>
      <c r="G874" s="450"/>
      <c r="H874" s="450"/>
      <c r="I874" s="450"/>
      <c r="J874" s="450"/>
      <c r="K874" s="647"/>
      <c r="L874" s="712"/>
      <c r="M874" s="712"/>
      <c r="N874" s="712"/>
      <c r="O874" s="712"/>
      <c r="P874" s="712"/>
      <c r="Q874" s="712"/>
      <c r="R874" s="712"/>
      <c r="S874" s="712"/>
      <c r="T874" s="712"/>
      <c r="U874" s="712"/>
      <c r="V874" s="712"/>
      <c r="W874" s="644"/>
    </row>
    <row r="875" spans="1:23" ht="22.5" customHeight="1" thickTop="1" thickBot="1" x14ac:dyDescent="0.3">
      <c r="A875" s="451"/>
      <c r="B875" s="450"/>
      <c r="C875" s="450"/>
      <c r="D875" s="450"/>
      <c r="E875" s="450"/>
      <c r="F875" s="450"/>
      <c r="G875" s="450"/>
      <c r="H875" s="450"/>
      <c r="I875" s="450"/>
      <c r="J875" s="450"/>
      <c r="K875" s="647"/>
      <c r="L875" s="712"/>
      <c r="M875" s="712"/>
      <c r="N875" s="712"/>
      <c r="O875" s="712"/>
      <c r="P875" s="712"/>
      <c r="Q875" s="712"/>
      <c r="R875" s="712"/>
      <c r="S875" s="712"/>
      <c r="T875" s="712"/>
      <c r="U875" s="712"/>
      <c r="V875" s="712"/>
      <c r="W875" s="644"/>
    </row>
    <row r="876" spans="1:23" ht="22.5" customHeight="1" thickTop="1" thickBot="1" x14ac:dyDescent="0.3">
      <c r="A876" s="451"/>
      <c r="B876" s="450"/>
      <c r="C876" s="450"/>
      <c r="D876" s="450"/>
      <c r="E876" s="450"/>
      <c r="F876" s="450"/>
      <c r="G876" s="450"/>
      <c r="H876" s="450"/>
      <c r="I876" s="450"/>
      <c r="J876" s="450"/>
      <c r="K876" s="647"/>
      <c r="L876" s="712"/>
      <c r="M876" s="712"/>
      <c r="N876" s="712"/>
      <c r="O876" s="712"/>
      <c r="P876" s="712"/>
      <c r="Q876" s="712"/>
      <c r="R876" s="712"/>
      <c r="S876" s="712"/>
      <c r="T876" s="712"/>
      <c r="U876" s="712"/>
      <c r="V876" s="712"/>
      <c r="W876" s="644"/>
    </row>
    <row r="877" spans="1:23" ht="22.5" customHeight="1" thickTop="1" thickBot="1" x14ac:dyDescent="0.3">
      <c r="A877" s="451"/>
      <c r="B877" s="450"/>
      <c r="C877" s="450"/>
      <c r="D877" s="450"/>
      <c r="E877" s="450"/>
      <c r="F877" s="450"/>
      <c r="G877" s="450"/>
      <c r="H877" s="450"/>
      <c r="I877" s="450"/>
      <c r="J877" s="450"/>
      <c r="K877" s="647"/>
      <c r="L877" s="712"/>
      <c r="M877" s="712"/>
      <c r="N877" s="712"/>
      <c r="O877" s="712"/>
      <c r="P877" s="712"/>
      <c r="Q877" s="712"/>
      <c r="R877" s="712"/>
      <c r="S877" s="712"/>
      <c r="T877" s="712"/>
      <c r="U877" s="712"/>
      <c r="V877" s="712"/>
      <c r="W877" s="644"/>
    </row>
    <row r="878" spans="1:23" ht="22.5" customHeight="1" thickTop="1" thickBot="1" x14ac:dyDescent="0.3">
      <c r="A878" s="451"/>
      <c r="B878" s="450"/>
      <c r="C878" s="450"/>
      <c r="D878" s="450"/>
      <c r="E878" s="450"/>
      <c r="F878" s="450"/>
      <c r="G878" s="450"/>
      <c r="H878" s="450"/>
      <c r="I878" s="450"/>
      <c r="J878" s="450"/>
      <c r="K878" s="647"/>
      <c r="L878" s="712"/>
      <c r="M878" s="712"/>
      <c r="N878" s="712"/>
      <c r="O878" s="712"/>
      <c r="P878" s="712"/>
      <c r="Q878" s="712"/>
      <c r="R878" s="712"/>
      <c r="S878" s="712"/>
      <c r="T878" s="712"/>
      <c r="U878" s="712"/>
      <c r="V878" s="712"/>
      <c r="W878" s="644"/>
    </row>
    <row r="879" spans="1:23" ht="22.5" customHeight="1" thickTop="1" thickBot="1" x14ac:dyDescent="0.3">
      <c r="A879" s="451"/>
      <c r="B879" s="450"/>
      <c r="C879" s="450"/>
      <c r="D879" s="450"/>
      <c r="E879" s="450"/>
      <c r="F879" s="450"/>
      <c r="G879" s="450"/>
      <c r="H879" s="450"/>
      <c r="I879" s="450"/>
      <c r="J879" s="450"/>
      <c r="K879" s="647"/>
      <c r="L879" s="712"/>
      <c r="M879" s="712"/>
      <c r="N879" s="712"/>
      <c r="O879" s="712"/>
      <c r="P879" s="712"/>
      <c r="Q879" s="712"/>
      <c r="R879" s="712"/>
      <c r="S879" s="712"/>
      <c r="T879" s="712"/>
      <c r="U879" s="712"/>
      <c r="V879" s="712"/>
      <c r="W879" s="644"/>
    </row>
    <row r="880" spans="1:23" ht="22.5" customHeight="1" thickTop="1" thickBot="1" x14ac:dyDescent="0.3">
      <c r="A880" s="451"/>
      <c r="B880" s="450"/>
      <c r="C880" s="450"/>
      <c r="D880" s="450"/>
      <c r="E880" s="450"/>
      <c r="F880" s="450"/>
      <c r="G880" s="450"/>
      <c r="H880" s="450"/>
      <c r="I880" s="450"/>
      <c r="J880" s="450"/>
      <c r="K880" s="647"/>
      <c r="L880" s="712"/>
      <c r="M880" s="712"/>
      <c r="N880" s="712"/>
      <c r="O880" s="712"/>
      <c r="P880" s="712"/>
      <c r="Q880" s="712"/>
      <c r="R880" s="712"/>
      <c r="S880" s="712"/>
      <c r="T880" s="712"/>
      <c r="U880" s="712"/>
      <c r="V880" s="712"/>
      <c r="W880" s="644"/>
    </row>
    <row r="881" spans="1:23" ht="22.5" customHeight="1" thickTop="1" thickBot="1" x14ac:dyDescent="0.3">
      <c r="A881" s="451"/>
      <c r="B881" s="450"/>
      <c r="C881" s="450"/>
      <c r="D881" s="450"/>
      <c r="E881" s="450"/>
      <c r="F881" s="450"/>
      <c r="G881" s="450"/>
      <c r="H881" s="450"/>
      <c r="I881" s="450"/>
      <c r="J881" s="450"/>
      <c r="K881" s="647"/>
      <c r="L881" s="712"/>
      <c r="M881" s="712"/>
      <c r="N881" s="712"/>
      <c r="O881" s="712"/>
      <c r="P881" s="712"/>
      <c r="Q881" s="712"/>
      <c r="R881" s="712"/>
      <c r="S881" s="712"/>
      <c r="T881" s="712"/>
      <c r="U881" s="712"/>
      <c r="V881" s="712"/>
      <c r="W881" s="644"/>
    </row>
    <row r="882" spans="1:23" ht="22.5" customHeight="1" thickTop="1" thickBot="1" x14ac:dyDescent="0.3">
      <c r="A882" s="451"/>
      <c r="B882" s="450"/>
      <c r="C882" s="450"/>
      <c r="D882" s="450"/>
      <c r="E882" s="450"/>
      <c r="F882" s="450"/>
      <c r="G882" s="450"/>
      <c r="H882" s="450"/>
      <c r="I882" s="450"/>
      <c r="J882" s="450"/>
      <c r="K882" s="647"/>
      <c r="L882" s="712"/>
      <c r="M882" s="712"/>
      <c r="N882" s="712"/>
      <c r="O882" s="712"/>
      <c r="P882" s="712"/>
      <c r="Q882" s="712"/>
      <c r="R882" s="712"/>
      <c r="S882" s="712"/>
      <c r="T882" s="712"/>
      <c r="U882" s="712"/>
      <c r="V882" s="712"/>
      <c r="W882" s="644"/>
    </row>
    <row r="883" spans="1:23" ht="22.5" customHeight="1" thickTop="1" thickBot="1" x14ac:dyDescent="0.3">
      <c r="A883" s="451"/>
      <c r="B883" s="450"/>
      <c r="C883" s="450"/>
      <c r="D883" s="450"/>
      <c r="E883" s="450"/>
      <c r="F883" s="450"/>
      <c r="G883" s="450"/>
      <c r="H883" s="450"/>
      <c r="I883" s="450"/>
      <c r="J883" s="450"/>
      <c r="K883" s="647"/>
      <c r="L883" s="712"/>
      <c r="M883" s="712"/>
      <c r="N883" s="712"/>
      <c r="O883" s="712"/>
      <c r="P883" s="712"/>
      <c r="Q883" s="712"/>
      <c r="R883" s="712"/>
      <c r="S883" s="712"/>
      <c r="T883" s="712"/>
      <c r="U883" s="712"/>
      <c r="V883" s="712"/>
      <c r="W883" s="644"/>
    </row>
    <row r="884" spans="1:23" ht="22.5" customHeight="1" thickTop="1" thickBot="1" x14ac:dyDescent="0.3">
      <c r="A884" s="451"/>
      <c r="B884" s="450"/>
      <c r="C884" s="450"/>
      <c r="D884" s="450"/>
      <c r="E884" s="450"/>
      <c r="F884" s="450"/>
      <c r="G884" s="450"/>
      <c r="H884" s="450"/>
      <c r="I884" s="450"/>
      <c r="J884" s="450"/>
      <c r="K884" s="647"/>
      <c r="L884" s="712"/>
      <c r="M884" s="712"/>
      <c r="N884" s="712"/>
      <c r="O884" s="712"/>
      <c r="P884" s="712"/>
      <c r="Q884" s="712"/>
      <c r="R884" s="712"/>
      <c r="S884" s="712"/>
      <c r="T884" s="712"/>
      <c r="U884" s="712"/>
      <c r="V884" s="712"/>
      <c r="W884" s="644"/>
    </row>
    <row r="885" spans="1:23" ht="22.5" customHeight="1" thickTop="1" thickBot="1" x14ac:dyDescent="0.3">
      <c r="A885" s="451"/>
      <c r="B885" s="450"/>
      <c r="C885" s="450"/>
      <c r="D885" s="450"/>
      <c r="E885" s="450"/>
      <c r="F885" s="450"/>
      <c r="G885" s="450"/>
      <c r="H885" s="450"/>
      <c r="I885" s="450"/>
      <c r="J885" s="450"/>
      <c r="K885" s="647"/>
      <c r="L885" s="712"/>
      <c r="M885" s="712"/>
      <c r="N885" s="712"/>
      <c r="O885" s="712"/>
      <c r="P885" s="712"/>
      <c r="Q885" s="712"/>
      <c r="R885" s="712"/>
      <c r="S885" s="712"/>
      <c r="T885" s="712"/>
      <c r="U885" s="712"/>
      <c r="V885" s="712"/>
      <c r="W885" s="644"/>
    </row>
    <row r="886" spans="1:23" ht="22.5" customHeight="1" thickTop="1" thickBot="1" x14ac:dyDescent="0.3">
      <c r="A886" s="451"/>
      <c r="B886" s="450"/>
      <c r="C886" s="450"/>
      <c r="D886" s="450"/>
      <c r="E886" s="450"/>
      <c r="F886" s="450"/>
      <c r="G886" s="450"/>
      <c r="H886" s="450"/>
      <c r="I886" s="450"/>
      <c r="J886" s="450"/>
      <c r="K886" s="647"/>
      <c r="L886" s="712"/>
      <c r="M886" s="712"/>
      <c r="N886" s="712"/>
      <c r="O886" s="712"/>
      <c r="P886" s="712"/>
      <c r="Q886" s="712"/>
      <c r="R886" s="712"/>
      <c r="S886" s="712"/>
      <c r="T886" s="712"/>
      <c r="U886" s="712"/>
      <c r="V886" s="712"/>
      <c r="W886" s="644"/>
    </row>
    <row r="887" spans="1:23" ht="22.5" customHeight="1" thickTop="1" thickBot="1" x14ac:dyDescent="0.3">
      <c r="A887" s="451"/>
      <c r="B887" s="450"/>
      <c r="C887" s="450"/>
      <c r="D887" s="450"/>
      <c r="E887" s="450"/>
      <c r="F887" s="450"/>
      <c r="G887" s="450"/>
      <c r="H887" s="450"/>
      <c r="I887" s="450"/>
      <c r="J887" s="450"/>
      <c r="K887" s="647"/>
      <c r="L887" s="712"/>
      <c r="M887" s="712"/>
      <c r="N887" s="712"/>
      <c r="O887" s="712"/>
      <c r="P887" s="712"/>
      <c r="Q887" s="712"/>
      <c r="R887" s="712"/>
      <c r="S887" s="712"/>
      <c r="T887" s="712"/>
      <c r="U887" s="712"/>
      <c r="V887" s="712"/>
      <c r="W887" s="644"/>
    </row>
    <row r="888" spans="1:23" ht="22.5" customHeight="1" thickTop="1" thickBot="1" x14ac:dyDescent="0.3">
      <c r="A888" s="451"/>
      <c r="B888" s="450"/>
      <c r="C888" s="450"/>
      <c r="D888" s="450"/>
      <c r="E888" s="450"/>
      <c r="F888" s="450"/>
      <c r="G888" s="450"/>
      <c r="H888" s="450"/>
      <c r="I888" s="450"/>
      <c r="J888" s="450"/>
      <c r="K888" s="647"/>
      <c r="L888" s="712"/>
      <c r="M888" s="712"/>
      <c r="N888" s="712"/>
      <c r="O888" s="712"/>
      <c r="P888" s="712"/>
      <c r="Q888" s="712"/>
      <c r="R888" s="712"/>
      <c r="S888" s="712"/>
      <c r="T888" s="712"/>
      <c r="U888" s="712"/>
      <c r="V888" s="712"/>
      <c r="W888" s="644"/>
    </row>
    <row r="889" spans="1:23" ht="22.5" customHeight="1" thickTop="1" thickBot="1" x14ac:dyDescent="0.3">
      <c r="A889" s="451"/>
      <c r="B889" s="450"/>
      <c r="C889" s="450"/>
      <c r="D889" s="450"/>
      <c r="E889" s="450"/>
      <c r="F889" s="450"/>
      <c r="G889" s="450"/>
      <c r="H889" s="450"/>
      <c r="I889" s="450"/>
      <c r="J889" s="450"/>
      <c r="K889" s="647"/>
      <c r="L889" s="712"/>
      <c r="M889" s="712"/>
      <c r="N889" s="712"/>
      <c r="O889" s="712"/>
      <c r="P889" s="712"/>
      <c r="Q889" s="712"/>
      <c r="R889" s="712"/>
      <c r="S889" s="712"/>
      <c r="T889" s="712"/>
      <c r="U889" s="712"/>
      <c r="V889" s="712"/>
      <c r="W889" s="644"/>
    </row>
    <row r="890" spans="1:23" ht="22.5" customHeight="1" thickTop="1" thickBot="1" x14ac:dyDescent="0.3">
      <c r="A890" s="451"/>
      <c r="B890" s="450"/>
      <c r="C890" s="450"/>
      <c r="D890" s="450"/>
      <c r="E890" s="450"/>
      <c r="F890" s="450"/>
      <c r="G890" s="450"/>
      <c r="H890" s="450"/>
      <c r="I890" s="450"/>
      <c r="J890" s="450"/>
      <c r="K890" s="647"/>
      <c r="L890" s="712"/>
      <c r="M890" s="712"/>
      <c r="N890" s="712"/>
      <c r="O890" s="712"/>
      <c r="P890" s="712"/>
      <c r="Q890" s="712"/>
      <c r="R890" s="712"/>
      <c r="S890" s="712"/>
      <c r="T890" s="712"/>
      <c r="U890" s="712"/>
      <c r="V890" s="712"/>
      <c r="W890" s="644"/>
    </row>
    <row r="891" spans="1:23" ht="22.5" customHeight="1" thickTop="1" thickBot="1" x14ac:dyDescent="0.3">
      <c r="A891" s="451"/>
      <c r="B891" s="450"/>
      <c r="C891" s="450"/>
      <c r="D891" s="450"/>
      <c r="E891" s="450"/>
      <c r="F891" s="450"/>
      <c r="G891" s="450"/>
      <c r="H891" s="450"/>
      <c r="I891" s="450"/>
      <c r="J891" s="450"/>
      <c r="K891" s="647"/>
      <c r="L891" s="712"/>
      <c r="M891" s="712"/>
      <c r="N891" s="712"/>
      <c r="O891" s="712"/>
      <c r="P891" s="712"/>
      <c r="Q891" s="712"/>
      <c r="R891" s="712"/>
      <c r="S891" s="712"/>
      <c r="T891" s="712"/>
      <c r="U891" s="712"/>
      <c r="V891" s="712"/>
      <c r="W891" s="644"/>
    </row>
    <row r="892" spans="1:23" ht="22.5" customHeight="1" thickTop="1" thickBot="1" x14ac:dyDescent="0.3">
      <c r="A892" s="451"/>
      <c r="B892" s="450"/>
      <c r="C892" s="450"/>
      <c r="D892" s="450"/>
      <c r="E892" s="450"/>
      <c r="F892" s="450"/>
      <c r="G892" s="450"/>
      <c r="H892" s="450"/>
      <c r="I892" s="450"/>
      <c r="J892" s="450"/>
      <c r="K892" s="647"/>
      <c r="L892" s="712"/>
      <c r="M892" s="712"/>
      <c r="N892" s="712"/>
      <c r="O892" s="712"/>
      <c r="P892" s="712"/>
      <c r="Q892" s="712"/>
      <c r="R892" s="712"/>
      <c r="S892" s="712"/>
      <c r="T892" s="712"/>
      <c r="U892" s="712"/>
      <c r="V892" s="712"/>
      <c r="W892" s="644"/>
    </row>
    <row r="893" spans="1:23" ht="22.5" customHeight="1" thickTop="1" thickBot="1" x14ac:dyDescent="0.3">
      <c r="A893" s="451"/>
      <c r="B893" s="450"/>
      <c r="C893" s="450"/>
      <c r="D893" s="450"/>
      <c r="E893" s="450"/>
      <c r="F893" s="450"/>
      <c r="G893" s="450"/>
      <c r="H893" s="450"/>
      <c r="I893" s="450"/>
      <c r="J893" s="450"/>
      <c r="K893" s="647"/>
      <c r="L893" s="712"/>
      <c r="M893" s="712"/>
      <c r="N893" s="712"/>
      <c r="O893" s="712"/>
      <c r="P893" s="712"/>
      <c r="Q893" s="712"/>
      <c r="R893" s="712"/>
      <c r="S893" s="712"/>
      <c r="T893" s="712"/>
      <c r="U893" s="712"/>
      <c r="V893" s="712"/>
      <c r="W893" s="644"/>
    </row>
    <row r="894" spans="1:23" ht="22.5" customHeight="1" thickTop="1" thickBot="1" x14ac:dyDescent="0.3">
      <c r="A894" s="451"/>
      <c r="B894" s="450"/>
      <c r="C894" s="450"/>
      <c r="D894" s="450"/>
      <c r="E894" s="450"/>
      <c r="F894" s="450"/>
      <c r="G894" s="450"/>
      <c r="H894" s="450"/>
      <c r="I894" s="450"/>
      <c r="J894" s="450"/>
      <c r="K894" s="647"/>
      <c r="L894" s="712"/>
      <c r="M894" s="712"/>
      <c r="N894" s="712"/>
      <c r="O894" s="712"/>
      <c r="P894" s="712"/>
      <c r="Q894" s="712"/>
      <c r="R894" s="712"/>
      <c r="S894" s="712"/>
      <c r="T894" s="712"/>
      <c r="U894" s="712"/>
      <c r="V894" s="712"/>
      <c r="W894" s="644"/>
    </row>
    <row r="895" spans="1:23" ht="22.5" customHeight="1" thickTop="1" thickBot="1" x14ac:dyDescent="0.3">
      <c r="A895" s="451"/>
      <c r="B895" s="450"/>
      <c r="C895" s="450"/>
      <c r="D895" s="450"/>
      <c r="E895" s="450"/>
      <c r="F895" s="450"/>
      <c r="G895" s="450"/>
      <c r="H895" s="450"/>
      <c r="I895" s="450"/>
      <c r="J895" s="450"/>
      <c r="K895" s="647"/>
      <c r="L895" s="712"/>
      <c r="M895" s="712"/>
      <c r="N895" s="712"/>
      <c r="O895" s="712"/>
      <c r="P895" s="712"/>
      <c r="Q895" s="712"/>
      <c r="R895" s="712"/>
      <c r="S895" s="712"/>
      <c r="T895" s="712"/>
      <c r="U895" s="712"/>
      <c r="V895" s="712"/>
      <c r="W895" s="644"/>
    </row>
    <row r="896" spans="1:23" ht="22.5" customHeight="1" thickTop="1" thickBot="1" x14ac:dyDescent="0.3">
      <c r="A896" s="451"/>
      <c r="B896" s="450"/>
      <c r="C896" s="450"/>
      <c r="D896" s="450"/>
      <c r="E896" s="450"/>
      <c r="F896" s="450"/>
      <c r="G896" s="450"/>
      <c r="H896" s="450"/>
      <c r="I896" s="450"/>
      <c r="J896" s="450"/>
      <c r="K896" s="647"/>
      <c r="L896" s="712"/>
      <c r="M896" s="712"/>
      <c r="N896" s="712"/>
      <c r="O896" s="712"/>
      <c r="P896" s="712"/>
      <c r="Q896" s="712"/>
      <c r="R896" s="712"/>
      <c r="S896" s="712"/>
      <c r="T896" s="712"/>
      <c r="U896" s="712"/>
      <c r="V896" s="712"/>
      <c r="W896" s="644"/>
    </row>
    <row r="897" spans="1:23" ht="22.5" customHeight="1" thickTop="1" thickBot="1" x14ac:dyDescent="0.3">
      <c r="A897" s="451"/>
      <c r="B897" s="450"/>
      <c r="C897" s="450"/>
      <c r="D897" s="450"/>
      <c r="E897" s="450"/>
      <c r="F897" s="450"/>
      <c r="G897" s="450"/>
      <c r="H897" s="450"/>
      <c r="I897" s="450"/>
      <c r="J897" s="450"/>
      <c r="K897" s="647"/>
      <c r="L897" s="712"/>
      <c r="M897" s="712"/>
      <c r="N897" s="712"/>
      <c r="O897" s="712"/>
      <c r="P897" s="712"/>
      <c r="Q897" s="712"/>
      <c r="R897" s="712"/>
      <c r="S897" s="712"/>
      <c r="T897" s="712"/>
      <c r="U897" s="712"/>
      <c r="V897" s="712"/>
      <c r="W897" s="644"/>
    </row>
    <row r="898" spans="1:23" ht="22.5" customHeight="1" thickTop="1" thickBot="1" x14ac:dyDescent="0.3">
      <c r="A898" s="451"/>
      <c r="B898" s="450"/>
      <c r="C898" s="450"/>
      <c r="D898" s="450"/>
      <c r="E898" s="450"/>
      <c r="F898" s="450"/>
      <c r="G898" s="450"/>
      <c r="H898" s="450"/>
      <c r="I898" s="450"/>
      <c r="J898" s="450"/>
      <c r="K898" s="647"/>
      <c r="L898" s="712"/>
      <c r="M898" s="712"/>
      <c r="N898" s="712"/>
      <c r="O898" s="712"/>
      <c r="P898" s="712"/>
      <c r="Q898" s="712"/>
      <c r="R898" s="712"/>
      <c r="S898" s="712"/>
      <c r="T898" s="712"/>
      <c r="U898" s="712"/>
      <c r="V898" s="712"/>
      <c r="W898" s="644"/>
    </row>
    <row r="899" spans="1:23" ht="22.5" customHeight="1" thickTop="1" thickBot="1" x14ac:dyDescent="0.3">
      <c r="A899" s="451"/>
      <c r="B899" s="450"/>
      <c r="C899" s="450"/>
      <c r="D899" s="450"/>
      <c r="E899" s="450"/>
      <c r="F899" s="450"/>
      <c r="G899" s="450"/>
      <c r="H899" s="450"/>
      <c r="I899" s="450"/>
      <c r="J899" s="450"/>
      <c r="K899" s="647"/>
      <c r="L899" s="712"/>
      <c r="M899" s="712"/>
      <c r="N899" s="712"/>
      <c r="O899" s="712"/>
      <c r="P899" s="712"/>
      <c r="Q899" s="712"/>
      <c r="R899" s="712"/>
      <c r="S899" s="712"/>
      <c r="T899" s="712"/>
      <c r="U899" s="712"/>
      <c r="V899" s="712"/>
      <c r="W899" s="644"/>
    </row>
    <row r="900" spans="1:23" ht="22.5" customHeight="1" thickTop="1" thickBot="1" x14ac:dyDescent="0.3">
      <c r="A900" s="451"/>
      <c r="B900" s="450"/>
      <c r="C900" s="450"/>
      <c r="D900" s="450"/>
      <c r="E900" s="450"/>
      <c r="F900" s="450"/>
      <c r="G900" s="450"/>
      <c r="H900" s="450"/>
      <c r="I900" s="450"/>
      <c r="J900" s="450"/>
      <c r="K900" s="647"/>
      <c r="L900" s="712"/>
      <c r="M900" s="712"/>
      <c r="N900" s="712"/>
      <c r="O900" s="712"/>
      <c r="P900" s="712"/>
      <c r="Q900" s="712"/>
      <c r="R900" s="712"/>
      <c r="S900" s="712"/>
      <c r="T900" s="712"/>
      <c r="U900" s="712"/>
      <c r="V900" s="712"/>
      <c r="W900" s="644"/>
    </row>
    <row r="901" spans="1:23" ht="22.5" customHeight="1" thickTop="1" thickBot="1" x14ac:dyDescent="0.3">
      <c r="A901" s="451"/>
      <c r="B901" s="450"/>
      <c r="C901" s="450"/>
      <c r="D901" s="450"/>
      <c r="E901" s="450"/>
      <c r="F901" s="450"/>
      <c r="G901" s="450"/>
      <c r="H901" s="450"/>
      <c r="I901" s="450"/>
      <c r="J901" s="450"/>
      <c r="K901" s="647"/>
      <c r="L901" s="712"/>
      <c r="M901" s="712"/>
      <c r="N901" s="712"/>
      <c r="O901" s="712"/>
      <c r="P901" s="712"/>
      <c r="Q901" s="712"/>
      <c r="R901" s="712"/>
      <c r="S901" s="712"/>
      <c r="T901" s="712"/>
      <c r="U901" s="712"/>
      <c r="V901" s="712"/>
      <c r="W901" s="644"/>
    </row>
    <row r="902" spans="1:23" ht="22.5" customHeight="1" thickTop="1" thickBot="1" x14ac:dyDescent="0.3">
      <c r="A902" s="451"/>
      <c r="B902" s="450"/>
      <c r="C902" s="450"/>
      <c r="D902" s="450"/>
      <c r="E902" s="450"/>
      <c r="F902" s="450"/>
      <c r="G902" s="450"/>
      <c r="H902" s="450"/>
      <c r="I902" s="450"/>
      <c r="J902" s="450"/>
      <c r="K902" s="647"/>
      <c r="L902" s="712"/>
      <c r="M902" s="712"/>
      <c r="N902" s="712"/>
      <c r="O902" s="712"/>
      <c r="P902" s="712"/>
      <c r="Q902" s="712"/>
      <c r="R902" s="712"/>
      <c r="S902" s="712"/>
      <c r="T902" s="712"/>
      <c r="U902" s="712"/>
      <c r="V902" s="712"/>
      <c r="W902" s="644"/>
    </row>
    <row r="903" spans="1:23" ht="22.5" customHeight="1" thickTop="1" thickBot="1" x14ac:dyDescent="0.3">
      <c r="A903" s="451"/>
      <c r="B903" s="450"/>
      <c r="C903" s="450"/>
      <c r="D903" s="450"/>
      <c r="E903" s="450"/>
      <c r="F903" s="450"/>
      <c r="G903" s="450"/>
      <c r="H903" s="450"/>
      <c r="I903" s="450"/>
      <c r="J903" s="450"/>
      <c r="K903" s="647"/>
      <c r="L903" s="712"/>
      <c r="M903" s="712"/>
      <c r="N903" s="712"/>
      <c r="O903" s="712"/>
      <c r="P903" s="712"/>
      <c r="Q903" s="712"/>
      <c r="R903" s="712"/>
      <c r="S903" s="712"/>
      <c r="T903" s="712"/>
      <c r="U903" s="712"/>
      <c r="V903" s="712"/>
      <c r="W903" s="644"/>
    </row>
    <row r="904" spans="1:23" ht="22.5" customHeight="1" thickTop="1" thickBot="1" x14ac:dyDescent="0.3">
      <c r="A904" s="451"/>
      <c r="B904" s="450"/>
      <c r="C904" s="450"/>
      <c r="D904" s="450"/>
      <c r="E904" s="450"/>
      <c r="F904" s="450"/>
      <c r="G904" s="450"/>
      <c r="H904" s="450"/>
      <c r="I904" s="450"/>
      <c r="J904" s="450"/>
      <c r="K904" s="647"/>
      <c r="L904" s="712"/>
      <c r="M904" s="712"/>
      <c r="N904" s="712"/>
      <c r="O904" s="712"/>
      <c r="P904" s="712"/>
      <c r="Q904" s="712"/>
      <c r="R904" s="712"/>
      <c r="S904" s="712"/>
      <c r="T904" s="712"/>
      <c r="U904" s="712"/>
      <c r="V904" s="712"/>
      <c r="W904" s="644"/>
    </row>
    <row r="905" spans="1:23" ht="22.5" customHeight="1" thickTop="1" thickBot="1" x14ac:dyDescent="0.3">
      <c r="A905" s="451"/>
      <c r="B905" s="450"/>
      <c r="C905" s="450"/>
      <c r="D905" s="450"/>
      <c r="E905" s="450"/>
      <c r="F905" s="450"/>
      <c r="G905" s="450"/>
      <c r="H905" s="450"/>
      <c r="I905" s="450"/>
      <c r="J905" s="450"/>
      <c r="K905" s="647"/>
      <c r="L905" s="712"/>
      <c r="M905" s="712"/>
      <c r="N905" s="712"/>
      <c r="O905" s="712"/>
      <c r="P905" s="712"/>
      <c r="Q905" s="712"/>
      <c r="R905" s="712"/>
      <c r="S905" s="712"/>
      <c r="T905" s="712"/>
      <c r="U905" s="712"/>
      <c r="V905" s="712"/>
      <c r="W905" s="644"/>
    </row>
    <row r="906" spans="1:23" ht="22.5" customHeight="1" thickTop="1" thickBot="1" x14ac:dyDescent="0.3">
      <c r="A906" s="451"/>
      <c r="B906" s="450"/>
      <c r="C906" s="450"/>
      <c r="D906" s="450"/>
      <c r="E906" s="450"/>
      <c r="F906" s="450"/>
      <c r="G906" s="450"/>
      <c r="H906" s="450"/>
      <c r="I906" s="450"/>
      <c r="J906" s="450"/>
      <c r="K906" s="647"/>
      <c r="L906" s="712"/>
      <c r="M906" s="712"/>
      <c r="N906" s="712"/>
      <c r="O906" s="712"/>
      <c r="P906" s="712"/>
      <c r="Q906" s="712"/>
      <c r="R906" s="712"/>
      <c r="S906" s="712"/>
      <c r="T906" s="712"/>
      <c r="U906" s="712"/>
      <c r="V906" s="712"/>
      <c r="W906" s="644"/>
    </row>
    <row r="907" spans="1:23" ht="22.5" customHeight="1" thickTop="1" thickBot="1" x14ac:dyDescent="0.3">
      <c r="A907" s="451"/>
      <c r="B907" s="450"/>
      <c r="C907" s="450"/>
      <c r="D907" s="450"/>
      <c r="E907" s="450"/>
      <c r="F907" s="450"/>
      <c r="G907" s="450"/>
      <c r="H907" s="450"/>
      <c r="I907" s="450"/>
      <c r="J907" s="450"/>
      <c r="K907" s="647"/>
      <c r="L907" s="712"/>
      <c r="M907" s="712"/>
      <c r="N907" s="712"/>
      <c r="O907" s="712"/>
      <c r="P907" s="712"/>
      <c r="Q907" s="712"/>
      <c r="R907" s="712"/>
      <c r="S907" s="712"/>
      <c r="T907" s="712"/>
      <c r="U907" s="712"/>
      <c r="V907" s="712"/>
      <c r="W907" s="644"/>
    </row>
    <row r="908" spans="1:23" ht="22.5" customHeight="1" thickTop="1" thickBot="1" x14ac:dyDescent="0.3">
      <c r="A908" s="451"/>
      <c r="B908" s="450"/>
      <c r="C908" s="450"/>
      <c r="D908" s="450"/>
      <c r="E908" s="450"/>
      <c r="F908" s="450"/>
      <c r="G908" s="450"/>
      <c r="H908" s="450"/>
      <c r="I908" s="450"/>
      <c r="J908" s="450"/>
      <c r="K908" s="647"/>
      <c r="L908" s="712"/>
      <c r="M908" s="712"/>
      <c r="N908" s="712"/>
      <c r="O908" s="712"/>
      <c r="P908" s="712"/>
      <c r="Q908" s="712"/>
      <c r="R908" s="712"/>
      <c r="S908" s="712"/>
      <c r="T908" s="712"/>
      <c r="U908" s="712"/>
      <c r="V908" s="712"/>
      <c r="W908" s="644"/>
    </row>
    <row r="909" spans="1:23" ht="22.5" customHeight="1" thickTop="1" thickBot="1" x14ac:dyDescent="0.3">
      <c r="A909" s="451"/>
      <c r="B909" s="450"/>
      <c r="C909" s="450"/>
      <c r="D909" s="450"/>
      <c r="E909" s="450"/>
      <c r="F909" s="450"/>
      <c r="G909" s="450"/>
      <c r="H909" s="450"/>
      <c r="I909" s="450"/>
      <c r="J909" s="450"/>
      <c r="K909" s="647"/>
      <c r="L909" s="712"/>
      <c r="M909" s="712"/>
      <c r="N909" s="712"/>
      <c r="O909" s="712"/>
      <c r="P909" s="712"/>
      <c r="Q909" s="712"/>
      <c r="R909" s="712"/>
      <c r="S909" s="712"/>
      <c r="T909" s="712"/>
      <c r="U909" s="712"/>
      <c r="V909" s="712"/>
      <c r="W909" s="644"/>
    </row>
    <row r="910" spans="1:23" ht="22.5" customHeight="1" thickTop="1" thickBot="1" x14ac:dyDescent="0.3">
      <c r="A910" s="451"/>
      <c r="B910" s="450"/>
      <c r="C910" s="450"/>
      <c r="D910" s="450"/>
      <c r="E910" s="450"/>
      <c r="F910" s="450"/>
      <c r="G910" s="450"/>
      <c r="H910" s="450"/>
      <c r="I910" s="450"/>
      <c r="J910" s="450"/>
      <c r="K910" s="647"/>
      <c r="L910" s="712"/>
      <c r="M910" s="712"/>
      <c r="N910" s="712"/>
      <c r="O910" s="712"/>
      <c r="P910" s="712"/>
      <c r="Q910" s="712"/>
      <c r="R910" s="712"/>
      <c r="S910" s="712"/>
      <c r="T910" s="712"/>
      <c r="U910" s="712"/>
      <c r="V910" s="712"/>
      <c r="W910" s="644"/>
    </row>
    <row r="911" spans="1:23" ht="22.5" customHeight="1" thickTop="1" thickBot="1" x14ac:dyDescent="0.3">
      <c r="A911" s="451"/>
      <c r="B911" s="450"/>
      <c r="C911" s="450"/>
      <c r="D911" s="450"/>
      <c r="E911" s="450"/>
      <c r="F911" s="450"/>
      <c r="G911" s="450"/>
      <c r="H911" s="450"/>
      <c r="I911" s="450"/>
      <c r="J911" s="450"/>
      <c r="K911" s="647"/>
      <c r="L911" s="712"/>
      <c r="M911" s="712"/>
      <c r="N911" s="712"/>
      <c r="O911" s="712"/>
      <c r="P911" s="712"/>
      <c r="Q911" s="712"/>
      <c r="R911" s="712"/>
      <c r="S911" s="712"/>
      <c r="T911" s="712"/>
      <c r="U911" s="712"/>
      <c r="V911" s="712"/>
      <c r="W911" s="644"/>
    </row>
    <row r="912" spans="1:23" ht="22.5" customHeight="1" thickTop="1" thickBot="1" x14ac:dyDescent="0.3">
      <c r="A912" s="451"/>
      <c r="B912" s="450"/>
      <c r="C912" s="450"/>
      <c r="D912" s="450"/>
      <c r="E912" s="450"/>
      <c r="F912" s="450"/>
      <c r="G912" s="450"/>
      <c r="H912" s="450"/>
      <c r="I912" s="450"/>
      <c r="J912" s="450"/>
      <c r="K912" s="647"/>
      <c r="L912" s="712"/>
      <c r="M912" s="712"/>
      <c r="N912" s="712"/>
      <c r="O912" s="712"/>
      <c r="P912" s="712"/>
      <c r="Q912" s="712"/>
      <c r="R912" s="712"/>
      <c r="S912" s="712"/>
      <c r="T912" s="712"/>
      <c r="U912" s="712"/>
      <c r="V912" s="712"/>
      <c r="W912" s="644"/>
    </row>
    <row r="913" spans="1:23" ht="22.5" customHeight="1" thickTop="1" thickBot="1" x14ac:dyDescent="0.3">
      <c r="A913" s="451"/>
      <c r="B913" s="450"/>
      <c r="C913" s="450"/>
      <c r="D913" s="450"/>
      <c r="E913" s="450"/>
      <c r="F913" s="450"/>
      <c r="G913" s="450"/>
      <c r="H913" s="450"/>
      <c r="I913" s="450"/>
      <c r="J913" s="450"/>
      <c r="K913" s="647"/>
      <c r="L913" s="712"/>
      <c r="M913" s="712"/>
      <c r="N913" s="712"/>
      <c r="O913" s="712"/>
      <c r="P913" s="712"/>
      <c r="Q913" s="712"/>
      <c r="R913" s="712"/>
      <c r="S913" s="712"/>
      <c r="T913" s="712"/>
      <c r="U913" s="712"/>
      <c r="V913" s="712"/>
      <c r="W913" s="644"/>
    </row>
    <row r="914" spans="1:23" ht="22.5" customHeight="1" thickTop="1" thickBot="1" x14ac:dyDescent="0.3">
      <c r="A914" s="451"/>
      <c r="B914" s="450"/>
      <c r="C914" s="450"/>
      <c r="D914" s="450"/>
      <c r="E914" s="450"/>
      <c r="F914" s="450"/>
      <c r="G914" s="450"/>
      <c r="H914" s="450"/>
      <c r="I914" s="450"/>
      <c r="J914" s="450"/>
      <c r="K914" s="647"/>
      <c r="L914" s="712"/>
      <c r="M914" s="712"/>
      <c r="N914" s="712"/>
      <c r="O914" s="712"/>
      <c r="P914" s="712"/>
      <c r="Q914" s="712"/>
      <c r="R914" s="712"/>
      <c r="S914" s="712"/>
      <c r="T914" s="712"/>
      <c r="U914" s="712"/>
      <c r="V914" s="712"/>
      <c r="W914" s="644"/>
    </row>
    <row r="915" spans="1:23" ht="22.5" customHeight="1" thickTop="1" thickBot="1" x14ac:dyDescent="0.3">
      <c r="A915" s="451"/>
      <c r="B915" s="450"/>
      <c r="C915" s="450"/>
      <c r="D915" s="450"/>
      <c r="E915" s="450"/>
      <c r="F915" s="450"/>
      <c r="G915" s="450"/>
      <c r="H915" s="450"/>
      <c r="I915" s="450"/>
      <c r="J915" s="450"/>
      <c r="K915" s="647"/>
      <c r="L915" s="712"/>
      <c r="M915" s="712"/>
      <c r="N915" s="712"/>
      <c r="O915" s="712"/>
      <c r="P915" s="712"/>
      <c r="Q915" s="712"/>
      <c r="R915" s="712"/>
      <c r="S915" s="712"/>
      <c r="T915" s="712"/>
      <c r="U915" s="712"/>
      <c r="V915" s="712"/>
      <c r="W915" s="644"/>
    </row>
    <row r="916" spans="1:23" ht="22.5" customHeight="1" thickTop="1" thickBot="1" x14ac:dyDescent="0.3">
      <c r="A916" s="451"/>
      <c r="B916" s="450"/>
      <c r="C916" s="450"/>
      <c r="D916" s="450"/>
      <c r="E916" s="450"/>
      <c r="F916" s="450"/>
      <c r="G916" s="450"/>
      <c r="H916" s="450"/>
      <c r="I916" s="450"/>
      <c r="J916" s="450"/>
      <c r="K916" s="647"/>
      <c r="L916" s="712"/>
      <c r="M916" s="712"/>
      <c r="N916" s="712"/>
      <c r="O916" s="712"/>
      <c r="P916" s="712"/>
      <c r="Q916" s="712"/>
      <c r="R916" s="712"/>
      <c r="S916" s="712"/>
      <c r="T916" s="712"/>
      <c r="U916" s="712"/>
      <c r="V916" s="712"/>
      <c r="W916" s="644"/>
    </row>
    <row r="917" spans="1:23" ht="22.5" customHeight="1" thickTop="1" thickBot="1" x14ac:dyDescent="0.3">
      <c r="A917" s="451"/>
      <c r="B917" s="450"/>
      <c r="C917" s="450"/>
      <c r="D917" s="450"/>
      <c r="E917" s="450"/>
      <c r="F917" s="450"/>
      <c r="G917" s="450"/>
      <c r="H917" s="450"/>
      <c r="I917" s="450"/>
      <c r="J917" s="450"/>
      <c r="K917" s="647"/>
      <c r="L917" s="712"/>
      <c r="M917" s="712"/>
      <c r="N917" s="712"/>
      <c r="O917" s="712"/>
      <c r="P917" s="712"/>
      <c r="Q917" s="712"/>
      <c r="R917" s="712"/>
      <c r="S917" s="712"/>
      <c r="T917" s="712"/>
      <c r="U917" s="712"/>
      <c r="V917" s="712"/>
      <c r="W917" s="644"/>
    </row>
    <row r="918" spans="1:23" ht="22.5" customHeight="1" thickTop="1" thickBot="1" x14ac:dyDescent="0.3">
      <c r="A918" s="451"/>
      <c r="B918" s="450"/>
      <c r="C918" s="450"/>
      <c r="D918" s="450"/>
      <c r="E918" s="450"/>
      <c r="F918" s="450"/>
      <c r="G918" s="450"/>
      <c r="H918" s="450"/>
      <c r="I918" s="450"/>
      <c r="J918" s="450"/>
      <c r="K918" s="647"/>
      <c r="L918" s="712"/>
      <c r="M918" s="712"/>
      <c r="N918" s="712"/>
      <c r="O918" s="712"/>
      <c r="P918" s="712"/>
      <c r="Q918" s="712"/>
      <c r="R918" s="712"/>
      <c r="S918" s="712"/>
      <c r="T918" s="712"/>
      <c r="U918" s="712"/>
      <c r="V918" s="712"/>
      <c r="W918" s="644"/>
    </row>
    <row r="919" spans="1:23" ht="22.5" customHeight="1" thickTop="1" thickBot="1" x14ac:dyDescent="0.3">
      <c r="A919" s="451"/>
      <c r="B919" s="450"/>
      <c r="C919" s="450"/>
      <c r="D919" s="450"/>
      <c r="E919" s="450"/>
      <c r="F919" s="450"/>
      <c r="G919" s="450"/>
      <c r="H919" s="450"/>
      <c r="I919" s="450"/>
      <c r="J919" s="450"/>
      <c r="K919" s="647"/>
      <c r="L919" s="712"/>
      <c r="M919" s="712"/>
      <c r="N919" s="712"/>
      <c r="O919" s="712"/>
      <c r="P919" s="712"/>
      <c r="Q919" s="712"/>
      <c r="R919" s="712"/>
      <c r="S919" s="712"/>
      <c r="T919" s="712"/>
      <c r="U919" s="712"/>
      <c r="V919" s="712"/>
      <c r="W919" s="644"/>
    </row>
    <row r="920" spans="1:23" ht="22.5" customHeight="1" thickTop="1" thickBot="1" x14ac:dyDescent="0.3">
      <c r="A920" s="451"/>
      <c r="B920" s="450"/>
      <c r="C920" s="450"/>
      <c r="D920" s="450"/>
      <c r="E920" s="450"/>
      <c r="F920" s="450"/>
      <c r="G920" s="450"/>
      <c r="H920" s="450"/>
      <c r="I920" s="450"/>
      <c r="J920" s="450"/>
      <c r="K920" s="647"/>
      <c r="L920" s="712"/>
      <c r="M920" s="712"/>
      <c r="N920" s="712"/>
      <c r="O920" s="712"/>
      <c r="P920" s="712"/>
      <c r="Q920" s="712"/>
      <c r="R920" s="712"/>
      <c r="S920" s="712"/>
      <c r="T920" s="712"/>
      <c r="U920" s="712"/>
      <c r="V920" s="712"/>
      <c r="W920" s="644"/>
    </row>
    <row r="921" spans="1:23" ht="22.5" customHeight="1" thickTop="1" thickBot="1" x14ac:dyDescent="0.3">
      <c r="A921" s="451"/>
      <c r="B921" s="450"/>
      <c r="C921" s="450"/>
      <c r="D921" s="450"/>
      <c r="E921" s="450"/>
      <c r="F921" s="450"/>
      <c r="G921" s="450"/>
      <c r="H921" s="450"/>
      <c r="I921" s="450"/>
      <c r="J921" s="450"/>
      <c r="K921" s="647"/>
      <c r="L921" s="712"/>
      <c r="M921" s="712"/>
      <c r="N921" s="712"/>
      <c r="O921" s="712"/>
      <c r="P921" s="712"/>
      <c r="Q921" s="712"/>
      <c r="R921" s="712"/>
      <c r="S921" s="712"/>
      <c r="T921" s="712"/>
      <c r="U921" s="712"/>
      <c r="V921" s="712"/>
      <c r="W921" s="644"/>
    </row>
    <row r="922" spans="1:23" ht="22.5" customHeight="1" thickTop="1" thickBot="1" x14ac:dyDescent="0.3">
      <c r="A922" s="451"/>
      <c r="B922" s="450"/>
      <c r="C922" s="450"/>
      <c r="D922" s="450"/>
      <c r="E922" s="450"/>
      <c r="F922" s="450"/>
      <c r="G922" s="450"/>
      <c r="H922" s="450"/>
      <c r="I922" s="450"/>
      <c r="J922" s="450"/>
      <c r="K922" s="647"/>
      <c r="L922" s="712"/>
      <c r="M922" s="712"/>
      <c r="N922" s="712"/>
      <c r="O922" s="712"/>
      <c r="P922" s="712"/>
      <c r="Q922" s="712"/>
      <c r="R922" s="712"/>
      <c r="S922" s="712"/>
      <c r="T922" s="712"/>
      <c r="U922" s="712"/>
      <c r="V922" s="712"/>
      <c r="W922" s="644"/>
    </row>
    <row r="923" spans="1:23" ht="22.5" customHeight="1" thickTop="1" thickBot="1" x14ac:dyDescent="0.3">
      <c r="A923" s="451"/>
      <c r="B923" s="450"/>
      <c r="C923" s="450"/>
      <c r="D923" s="450"/>
      <c r="E923" s="450"/>
      <c r="F923" s="450"/>
      <c r="G923" s="450"/>
      <c r="H923" s="450"/>
      <c r="I923" s="450"/>
      <c r="J923" s="450"/>
      <c r="K923" s="647"/>
      <c r="L923" s="712"/>
      <c r="M923" s="712"/>
      <c r="N923" s="712"/>
      <c r="O923" s="712"/>
      <c r="P923" s="712"/>
      <c r="Q923" s="712"/>
      <c r="R923" s="712"/>
      <c r="S923" s="712"/>
      <c r="T923" s="712"/>
      <c r="U923" s="712"/>
      <c r="V923" s="712"/>
      <c r="W923" s="644"/>
    </row>
    <row r="924" spans="1:23" ht="22.5" customHeight="1" thickTop="1" thickBot="1" x14ac:dyDescent="0.3">
      <c r="A924" s="451"/>
      <c r="B924" s="450"/>
      <c r="C924" s="450"/>
      <c r="D924" s="450"/>
      <c r="E924" s="450"/>
      <c r="F924" s="450"/>
      <c r="G924" s="450"/>
      <c r="H924" s="450"/>
      <c r="I924" s="450"/>
      <c r="J924" s="450"/>
      <c r="K924" s="647"/>
      <c r="L924" s="712"/>
      <c r="M924" s="712"/>
      <c r="N924" s="712"/>
      <c r="O924" s="712"/>
      <c r="P924" s="712"/>
      <c r="Q924" s="712"/>
      <c r="R924" s="712"/>
      <c r="S924" s="712"/>
      <c r="T924" s="712"/>
      <c r="U924" s="712"/>
      <c r="V924" s="712"/>
      <c r="W924" s="644"/>
    </row>
    <row r="925" spans="1:23" ht="22.5" customHeight="1" thickTop="1" thickBot="1" x14ac:dyDescent="0.3">
      <c r="A925" s="451"/>
      <c r="B925" s="450"/>
      <c r="C925" s="450"/>
      <c r="D925" s="450"/>
      <c r="E925" s="450"/>
      <c r="F925" s="450"/>
      <c r="G925" s="450"/>
      <c r="H925" s="450"/>
      <c r="I925" s="450"/>
      <c r="J925" s="450"/>
      <c r="K925" s="647"/>
      <c r="L925" s="712"/>
      <c r="M925" s="712"/>
      <c r="N925" s="712"/>
      <c r="O925" s="712"/>
      <c r="P925" s="712"/>
      <c r="Q925" s="712"/>
      <c r="R925" s="712"/>
      <c r="S925" s="712"/>
      <c r="T925" s="712"/>
      <c r="U925" s="712"/>
      <c r="V925" s="712"/>
      <c r="W925" s="644"/>
    </row>
    <row r="926" spans="1:23" ht="22.5" customHeight="1" thickTop="1" thickBot="1" x14ac:dyDescent="0.3">
      <c r="A926" s="451"/>
      <c r="B926" s="450"/>
      <c r="C926" s="450"/>
      <c r="D926" s="450"/>
      <c r="E926" s="450"/>
      <c r="F926" s="450"/>
      <c r="G926" s="450"/>
      <c r="H926" s="450"/>
      <c r="I926" s="450"/>
      <c r="J926" s="450"/>
      <c r="K926" s="647"/>
      <c r="L926" s="712"/>
      <c r="M926" s="712"/>
      <c r="N926" s="712"/>
      <c r="O926" s="712"/>
      <c r="P926" s="712"/>
      <c r="Q926" s="712"/>
      <c r="R926" s="712"/>
      <c r="S926" s="712"/>
      <c r="T926" s="712"/>
      <c r="U926" s="712"/>
      <c r="V926" s="712"/>
      <c r="W926" s="644"/>
    </row>
    <row r="927" spans="1:23" ht="22.5" customHeight="1" thickTop="1" thickBot="1" x14ac:dyDescent="0.3">
      <c r="A927" s="451"/>
      <c r="B927" s="450"/>
      <c r="C927" s="450"/>
      <c r="D927" s="450"/>
      <c r="E927" s="450"/>
      <c r="F927" s="450"/>
      <c r="G927" s="450"/>
      <c r="H927" s="450"/>
      <c r="I927" s="450"/>
      <c r="J927" s="450"/>
      <c r="K927" s="647"/>
      <c r="L927" s="712"/>
      <c r="M927" s="712"/>
      <c r="N927" s="712"/>
      <c r="O927" s="712"/>
      <c r="P927" s="712"/>
      <c r="Q927" s="712"/>
      <c r="R927" s="712"/>
      <c r="S927" s="712"/>
      <c r="T927" s="712"/>
      <c r="U927" s="712"/>
      <c r="V927" s="712"/>
      <c r="W927" s="644"/>
    </row>
    <row r="928" spans="1:23" ht="22.5" customHeight="1" thickTop="1" thickBot="1" x14ac:dyDescent="0.3">
      <c r="A928" s="451"/>
      <c r="B928" s="450"/>
      <c r="C928" s="450"/>
      <c r="D928" s="450"/>
      <c r="E928" s="450"/>
      <c r="F928" s="450"/>
      <c r="G928" s="450"/>
      <c r="H928" s="450"/>
      <c r="I928" s="450"/>
      <c r="J928" s="450"/>
      <c r="K928" s="647"/>
      <c r="L928" s="712"/>
      <c r="M928" s="712"/>
      <c r="N928" s="712"/>
      <c r="O928" s="712"/>
      <c r="P928" s="712"/>
      <c r="Q928" s="712"/>
      <c r="R928" s="712"/>
      <c r="S928" s="712"/>
      <c r="T928" s="712"/>
      <c r="U928" s="712"/>
      <c r="V928" s="712"/>
      <c r="W928" s="644"/>
    </row>
    <row r="929" spans="1:23" ht="22.5" customHeight="1" thickTop="1" thickBot="1" x14ac:dyDescent="0.3">
      <c r="A929" s="451"/>
      <c r="B929" s="450"/>
      <c r="C929" s="450"/>
      <c r="D929" s="450"/>
      <c r="E929" s="450"/>
      <c r="F929" s="450"/>
      <c r="G929" s="450"/>
      <c r="H929" s="450"/>
      <c r="I929" s="450"/>
      <c r="J929" s="450"/>
      <c r="K929" s="647"/>
      <c r="L929" s="712"/>
      <c r="M929" s="712"/>
      <c r="N929" s="712"/>
      <c r="O929" s="712"/>
      <c r="P929" s="712"/>
      <c r="Q929" s="712"/>
      <c r="R929" s="712"/>
      <c r="S929" s="712"/>
      <c r="T929" s="712"/>
      <c r="U929" s="712"/>
      <c r="V929" s="712"/>
      <c r="W929" s="644"/>
    </row>
    <row r="930" spans="1:23" ht="22.5" customHeight="1" thickTop="1" thickBot="1" x14ac:dyDescent="0.3">
      <c r="A930" s="451"/>
      <c r="B930" s="450"/>
      <c r="C930" s="450"/>
      <c r="D930" s="450"/>
      <c r="E930" s="450"/>
      <c r="F930" s="450"/>
      <c r="G930" s="450"/>
      <c r="H930" s="450"/>
      <c r="I930" s="450"/>
      <c r="J930" s="450"/>
      <c r="K930" s="647"/>
      <c r="L930" s="712"/>
      <c r="M930" s="712"/>
      <c r="N930" s="712"/>
      <c r="O930" s="712"/>
      <c r="P930" s="712"/>
      <c r="Q930" s="712"/>
      <c r="R930" s="712"/>
      <c r="S930" s="712"/>
      <c r="T930" s="712"/>
      <c r="U930" s="712"/>
      <c r="V930" s="712"/>
      <c r="W930" s="644"/>
    </row>
    <row r="931" spans="1:23" ht="22.5" customHeight="1" thickTop="1" thickBot="1" x14ac:dyDescent="0.3">
      <c r="A931" s="451"/>
      <c r="B931" s="450"/>
      <c r="C931" s="450"/>
      <c r="D931" s="450"/>
      <c r="E931" s="450"/>
      <c r="F931" s="450"/>
      <c r="G931" s="450"/>
      <c r="H931" s="450"/>
      <c r="I931" s="450"/>
      <c r="J931" s="450"/>
      <c r="K931" s="647"/>
      <c r="L931" s="712"/>
      <c r="M931" s="712"/>
      <c r="N931" s="712"/>
      <c r="O931" s="712"/>
      <c r="P931" s="712"/>
      <c r="Q931" s="712"/>
      <c r="R931" s="712"/>
      <c r="S931" s="712"/>
      <c r="T931" s="712"/>
      <c r="U931" s="712"/>
      <c r="V931" s="712"/>
      <c r="W931" s="644"/>
    </row>
    <row r="932" spans="1:23" ht="22.5" customHeight="1" thickTop="1" thickBot="1" x14ac:dyDescent="0.3">
      <c r="A932" s="451"/>
      <c r="B932" s="450"/>
      <c r="C932" s="450"/>
      <c r="D932" s="450"/>
      <c r="E932" s="450"/>
      <c r="F932" s="450"/>
      <c r="G932" s="450"/>
      <c r="H932" s="450"/>
      <c r="I932" s="450"/>
      <c r="J932" s="450"/>
      <c r="K932" s="647"/>
      <c r="L932" s="712"/>
      <c r="M932" s="712"/>
      <c r="N932" s="712"/>
      <c r="O932" s="712"/>
      <c r="P932" s="712"/>
      <c r="Q932" s="712"/>
      <c r="R932" s="712"/>
      <c r="S932" s="712"/>
      <c r="T932" s="712"/>
      <c r="U932" s="712"/>
      <c r="V932" s="712"/>
      <c r="W932" s="644"/>
    </row>
    <row r="933" spans="1:23" ht="22.5" customHeight="1" thickTop="1" thickBot="1" x14ac:dyDescent="0.3">
      <c r="A933" s="451"/>
      <c r="B933" s="450"/>
      <c r="C933" s="450"/>
      <c r="D933" s="450"/>
      <c r="E933" s="450"/>
      <c r="F933" s="450"/>
      <c r="G933" s="450"/>
      <c r="H933" s="450"/>
      <c r="I933" s="450"/>
      <c r="J933" s="450"/>
      <c r="K933" s="647"/>
      <c r="L933" s="712"/>
      <c r="M933" s="712"/>
      <c r="N933" s="712"/>
      <c r="O933" s="712"/>
      <c r="P933" s="712"/>
      <c r="Q933" s="712"/>
      <c r="R933" s="712"/>
      <c r="S933" s="712"/>
      <c r="T933" s="712"/>
      <c r="U933" s="712"/>
      <c r="V933" s="712"/>
      <c r="W933" s="644"/>
    </row>
    <row r="934" spans="1:23" ht="22.5" customHeight="1" thickTop="1" thickBot="1" x14ac:dyDescent="0.3">
      <c r="A934" s="451"/>
      <c r="B934" s="450"/>
      <c r="C934" s="450"/>
      <c r="D934" s="450"/>
      <c r="E934" s="450"/>
      <c r="F934" s="450"/>
      <c r="G934" s="450"/>
      <c r="H934" s="450"/>
      <c r="I934" s="450"/>
      <c r="J934" s="450"/>
      <c r="K934" s="647"/>
      <c r="L934" s="712"/>
      <c r="M934" s="712"/>
      <c r="N934" s="712"/>
      <c r="O934" s="712"/>
      <c r="P934" s="712"/>
      <c r="Q934" s="712"/>
      <c r="R934" s="712"/>
      <c r="S934" s="712"/>
      <c r="T934" s="712"/>
      <c r="U934" s="712"/>
      <c r="V934" s="712"/>
      <c r="W934" s="644"/>
    </row>
    <row r="935" spans="1:23" ht="22.5" customHeight="1" thickTop="1" thickBot="1" x14ac:dyDescent="0.3">
      <c r="A935" s="451"/>
      <c r="B935" s="450"/>
      <c r="C935" s="450"/>
      <c r="D935" s="450"/>
      <c r="E935" s="450"/>
      <c r="F935" s="450"/>
      <c r="G935" s="450"/>
      <c r="H935" s="450"/>
      <c r="I935" s="450"/>
      <c r="J935" s="450"/>
      <c r="K935" s="647"/>
      <c r="L935" s="712"/>
      <c r="M935" s="712"/>
      <c r="N935" s="712"/>
      <c r="O935" s="712"/>
      <c r="P935" s="712"/>
      <c r="Q935" s="712"/>
      <c r="R935" s="712"/>
      <c r="S935" s="712"/>
      <c r="T935" s="712"/>
      <c r="U935" s="712"/>
      <c r="V935" s="712"/>
      <c r="W935" s="644"/>
    </row>
    <row r="936" spans="1:23" ht="22.5" customHeight="1" thickTop="1" thickBot="1" x14ac:dyDescent="0.3">
      <c r="A936" s="451"/>
      <c r="B936" s="450"/>
      <c r="C936" s="450"/>
      <c r="D936" s="450"/>
      <c r="E936" s="450"/>
      <c r="F936" s="450"/>
      <c r="G936" s="450"/>
      <c r="H936" s="450"/>
      <c r="I936" s="450"/>
      <c r="J936" s="450"/>
      <c r="K936" s="647"/>
      <c r="L936" s="712"/>
      <c r="M936" s="712"/>
      <c r="N936" s="712"/>
      <c r="O936" s="712"/>
      <c r="P936" s="712"/>
      <c r="Q936" s="712"/>
      <c r="R936" s="712"/>
      <c r="S936" s="712"/>
      <c r="T936" s="712"/>
      <c r="U936" s="712"/>
      <c r="V936" s="712"/>
      <c r="W936" s="644"/>
    </row>
    <row r="937" spans="1:23" ht="22.5" customHeight="1" thickTop="1" thickBot="1" x14ac:dyDescent="0.3">
      <c r="A937" s="451"/>
      <c r="B937" s="450"/>
      <c r="C937" s="450"/>
      <c r="D937" s="450"/>
      <c r="E937" s="450"/>
      <c r="F937" s="450"/>
      <c r="G937" s="450"/>
      <c r="H937" s="450"/>
      <c r="I937" s="450"/>
      <c r="J937" s="450"/>
      <c r="K937" s="647"/>
      <c r="L937" s="712"/>
      <c r="M937" s="712"/>
      <c r="N937" s="712"/>
      <c r="O937" s="712"/>
      <c r="P937" s="712"/>
      <c r="Q937" s="712"/>
      <c r="R937" s="712"/>
      <c r="S937" s="712"/>
      <c r="T937" s="712"/>
      <c r="U937" s="712"/>
      <c r="V937" s="712"/>
      <c r="W937" s="644"/>
    </row>
    <row r="938" spans="1:23" ht="22.5" customHeight="1" thickTop="1" thickBot="1" x14ac:dyDescent="0.3">
      <c r="A938" s="451"/>
      <c r="B938" s="450"/>
      <c r="C938" s="450"/>
      <c r="D938" s="450"/>
      <c r="E938" s="450"/>
      <c r="F938" s="450"/>
      <c r="G938" s="450"/>
      <c r="H938" s="450"/>
      <c r="I938" s="450"/>
      <c r="J938" s="450"/>
      <c r="K938" s="647"/>
      <c r="L938" s="712"/>
      <c r="M938" s="712"/>
      <c r="N938" s="712"/>
      <c r="O938" s="712"/>
      <c r="P938" s="712"/>
      <c r="Q938" s="712"/>
      <c r="R938" s="712"/>
      <c r="S938" s="712"/>
      <c r="T938" s="712"/>
      <c r="U938" s="712"/>
      <c r="V938" s="712"/>
      <c r="W938" s="644"/>
    </row>
    <row r="939" spans="1:23" ht="22.5" customHeight="1" thickTop="1" thickBot="1" x14ac:dyDescent="0.3">
      <c r="A939" s="451"/>
      <c r="B939" s="450"/>
      <c r="C939" s="450"/>
      <c r="D939" s="450"/>
      <c r="E939" s="450"/>
      <c r="F939" s="450"/>
      <c r="G939" s="450"/>
      <c r="H939" s="450"/>
      <c r="I939" s="450"/>
      <c r="J939" s="450"/>
      <c r="K939" s="647"/>
      <c r="L939" s="712"/>
      <c r="M939" s="712"/>
      <c r="N939" s="712"/>
      <c r="O939" s="712"/>
      <c r="P939" s="712"/>
      <c r="Q939" s="712"/>
      <c r="R939" s="712"/>
      <c r="S939" s="712"/>
      <c r="T939" s="712"/>
      <c r="U939" s="712"/>
      <c r="V939" s="712"/>
      <c r="W939" s="644"/>
    </row>
    <row r="940" spans="1:23" ht="22.5" customHeight="1" thickTop="1" thickBot="1" x14ac:dyDescent="0.3">
      <c r="A940" s="451"/>
      <c r="B940" s="450"/>
      <c r="C940" s="450"/>
      <c r="D940" s="450"/>
      <c r="E940" s="450"/>
      <c r="F940" s="450"/>
      <c r="G940" s="450"/>
      <c r="H940" s="450"/>
      <c r="I940" s="450"/>
      <c r="J940" s="450"/>
      <c r="K940" s="647"/>
      <c r="L940" s="712"/>
      <c r="M940" s="712"/>
      <c r="N940" s="712"/>
      <c r="O940" s="712"/>
      <c r="P940" s="712"/>
      <c r="Q940" s="712"/>
      <c r="R940" s="712"/>
      <c r="S940" s="712"/>
      <c r="T940" s="712"/>
      <c r="U940" s="712"/>
      <c r="V940" s="712"/>
      <c r="W940" s="644"/>
    </row>
    <row r="941" spans="1:23" ht="22.5" customHeight="1" thickTop="1" thickBot="1" x14ac:dyDescent="0.3">
      <c r="A941" s="451"/>
      <c r="B941" s="450"/>
      <c r="C941" s="450"/>
      <c r="D941" s="450"/>
      <c r="E941" s="450"/>
      <c r="F941" s="450"/>
      <c r="G941" s="450"/>
      <c r="H941" s="450"/>
      <c r="I941" s="450"/>
      <c r="J941" s="450"/>
      <c r="K941" s="647"/>
      <c r="L941" s="712"/>
      <c r="M941" s="712"/>
      <c r="N941" s="712"/>
      <c r="O941" s="712"/>
      <c r="P941" s="712"/>
      <c r="Q941" s="712"/>
      <c r="R941" s="712"/>
      <c r="S941" s="712"/>
      <c r="T941" s="712"/>
      <c r="U941" s="712"/>
      <c r="V941" s="712"/>
      <c r="W941" s="644"/>
    </row>
    <row r="942" spans="1:23" ht="22.5" customHeight="1" thickTop="1" thickBot="1" x14ac:dyDescent="0.3">
      <c r="A942" s="451"/>
      <c r="B942" s="450"/>
      <c r="C942" s="450"/>
      <c r="D942" s="450"/>
      <c r="E942" s="450"/>
      <c r="F942" s="450"/>
      <c r="G942" s="450"/>
      <c r="H942" s="450"/>
      <c r="I942" s="450"/>
      <c r="J942" s="450"/>
      <c r="K942" s="647"/>
      <c r="L942" s="712"/>
      <c r="M942" s="712"/>
      <c r="N942" s="712"/>
      <c r="O942" s="712"/>
      <c r="P942" s="712"/>
      <c r="Q942" s="712"/>
      <c r="R942" s="712"/>
      <c r="S942" s="712"/>
      <c r="T942" s="712"/>
      <c r="U942" s="712"/>
      <c r="V942" s="712"/>
      <c r="W942" s="644"/>
    </row>
    <row r="943" spans="1:23" ht="22.5" customHeight="1" thickTop="1" thickBot="1" x14ac:dyDescent="0.3">
      <c r="A943" s="451"/>
      <c r="B943" s="450"/>
      <c r="C943" s="450"/>
      <c r="D943" s="450"/>
      <c r="E943" s="450"/>
      <c r="F943" s="450"/>
      <c r="G943" s="450"/>
      <c r="H943" s="450"/>
      <c r="I943" s="450"/>
      <c r="J943" s="450"/>
      <c r="K943" s="647"/>
      <c r="L943" s="712"/>
      <c r="M943" s="712"/>
      <c r="N943" s="712"/>
      <c r="O943" s="712"/>
      <c r="P943" s="712"/>
      <c r="Q943" s="712"/>
      <c r="R943" s="712"/>
      <c r="S943" s="712"/>
      <c r="T943" s="712"/>
      <c r="U943" s="712"/>
      <c r="V943" s="712"/>
      <c r="W943" s="644"/>
    </row>
    <row r="944" spans="1:23" ht="22.5" customHeight="1" thickTop="1" thickBot="1" x14ac:dyDescent="0.3">
      <c r="A944" s="451"/>
      <c r="B944" s="450"/>
      <c r="C944" s="450"/>
      <c r="D944" s="450"/>
      <c r="E944" s="450"/>
      <c r="F944" s="450"/>
      <c r="G944" s="450"/>
      <c r="H944" s="450"/>
      <c r="I944" s="450"/>
      <c r="J944" s="450"/>
      <c r="K944" s="647"/>
      <c r="L944" s="712"/>
      <c r="M944" s="712"/>
      <c r="N944" s="712"/>
      <c r="O944" s="712"/>
      <c r="P944" s="712"/>
      <c r="Q944" s="712"/>
      <c r="R944" s="712"/>
      <c r="S944" s="712"/>
      <c r="T944" s="712"/>
      <c r="U944" s="712"/>
      <c r="V944" s="712"/>
      <c r="W944" s="644"/>
    </row>
    <row r="945" spans="1:23" ht="22.5" customHeight="1" thickTop="1" thickBot="1" x14ac:dyDescent="0.3">
      <c r="A945" s="451"/>
      <c r="B945" s="450"/>
      <c r="C945" s="450"/>
      <c r="D945" s="450"/>
      <c r="E945" s="450"/>
      <c r="F945" s="450"/>
      <c r="G945" s="450"/>
      <c r="H945" s="450"/>
      <c r="I945" s="450"/>
      <c r="J945" s="450"/>
      <c r="K945" s="647"/>
      <c r="L945" s="712"/>
      <c r="M945" s="712"/>
      <c r="N945" s="712"/>
      <c r="O945" s="712"/>
      <c r="P945" s="712"/>
      <c r="Q945" s="712"/>
      <c r="R945" s="712"/>
      <c r="S945" s="712"/>
      <c r="T945" s="712"/>
      <c r="U945" s="712"/>
      <c r="V945" s="712"/>
      <c r="W945" s="644"/>
    </row>
    <row r="946" spans="1:23" ht="22.5" customHeight="1" thickTop="1" thickBot="1" x14ac:dyDescent="0.3">
      <c r="A946" s="451"/>
      <c r="B946" s="450"/>
      <c r="C946" s="450"/>
      <c r="D946" s="450"/>
      <c r="E946" s="450"/>
      <c r="F946" s="450"/>
      <c r="G946" s="450"/>
      <c r="H946" s="450"/>
      <c r="I946" s="450"/>
      <c r="J946" s="450"/>
      <c r="K946" s="647"/>
      <c r="L946" s="712"/>
      <c r="M946" s="712"/>
      <c r="N946" s="712"/>
      <c r="O946" s="712"/>
      <c r="P946" s="712"/>
      <c r="Q946" s="712"/>
      <c r="R946" s="712"/>
      <c r="S946" s="712"/>
      <c r="T946" s="712"/>
      <c r="U946" s="712"/>
      <c r="V946" s="712"/>
      <c r="W946" s="644"/>
    </row>
    <row r="947" spans="1:23" ht="22.5" customHeight="1" thickTop="1" thickBot="1" x14ac:dyDescent="0.3">
      <c r="A947" s="451"/>
      <c r="B947" s="450"/>
      <c r="C947" s="450"/>
      <c r="D947" s="450"/>
      <c r="E947" s="450"/>
      <c r="F947" s="450"/>
      <c r="G947" s="450"/>
      <c r="H947" s="450"/>
      <c r="I947" s="450"/>
      <c r="J947" s="450"/>
      <c r="K947" s="647"/>
      <c r="L947" s="712"/>
      <c r="M947" s="712"/>
      <c r="N947" s="712"/>
      <c r="O947" s="712"/>
      <c r="P947" s="712"/>
      <c r="Q947" s="712"/>
      <c r="R947" s="712"/>
      <c r="S947" s="712"/>
      <c r="T947" s="712"/>
      <c r="U947" s="712"/>
      <c r="V947" s="712"/>
      <c r="W947" s="644"/>
    </row>
    <row r="948" spans="1:23" ht="22.5" customHeight="1" thickTop="1" thickBot="1" x14ac:dyDescent="0.3">
      <c r="A948" s="451"/>
      <c r="B948" s="450"/>
      <c r="C948" s="450"/>
      <c r="D948" s="450"/>
      <c r="E948" s="450"/>
      <c r="F948" s="450"/>
      <c r="G948" s="450"/>
      <c r="H948" s="450"/>
      <c r="I948" s="450"/>
      <c r="J948" s="450"/>
      <c r="K948" s="647"/>
      <c r="L948" s="712"/>
      <c r="M948" s="712"/>
      <c r="N948" s="712"/>
      <c r="O948" s="712"/>
      <c r="P948" s="712"/>
      <c r="Q948" s="712"/>
      <c r="R948" s="712"/>
      <c r="S948" s="712"/>
      <c r="T948" s="712"/>
      <c r="U948" s="712"/>
      <c r="V948" s="712"/>
      <c r="W948" s="644"/>
    </row>
    <row r="949" spans="1:23" ht="22.5" customHeight="1" thickTop="1" thickBot="1" x14ac:dyDescent="0.3">
      <c r="A949" s="451"/>
      <c r="B949" s="450"/>
      <c r="C949" s="450"/>
      <c r="D949" s="450"/>
      <c r="E949" s="450"/>
      <c r="F949" s="450"/>
      <c r="G949" s="450"/>
      <c r="H949" s="450"/>
      <c r="I949" s="450"/>
      <c r="J949" s="450"/>
      <c r="K949" s="647"/>
      <c r="L949" s="712"/>
      <c r="M949" s="712"/>
      <c r="N949" s="712"/>
      <c r="O949" s="712"/>
      <c r="P949" s="712"/>
      <c r="Q949" s="712"/>
      <c r="R949" s="712"/>
      <c r="S949" s="712"/>
      <c r="T949" s="712"/>
      <c r="U949" s="712"/>
      <c r="V949" s="712"/>
      <c r="W949" s="644"/>
    </row>
    <row r="950" spans="1:23" ht="22.5" customHeight="1" thickTop="1" thickBot="1" x14ac:dyDescent="0.3">
      <c r="A950" s="451"/>
      <c r="B950" s="450"/>
      <c r="C950" s="450"/>
      <c r="D950" s="450"/>
      <c r="E950" s="450"/>
      <c r="F950" s="450"/>
      <c r="G950" s="450"/>
      <c r="H950" s="450"/>
      <c r="I950" s="450"/>
      <c r="J950" s="450"/>
      <c r="K950" s="647"/>
      <c r="L950" s="712"/>
      <c r="M950" s="712"/>
      <c r="N950" s="712"/>
      <c r="O950" s="712"/>
      <c r="P950" s="712"/>
      <c r="Q950" s="712"/>
      <c r="R950" s="712"/>
      <c r="S950" s="712"/>
      <c r="T950" s="712"/>
      <c r="U950" s="712"/>
      <c r="V950" s="712"/>
      <c r="W950" s="644"/>
    </row>
    <row r="951" spans="1:23" ht="22.5" customHeight="1" thickTop="1" thickBot="1" x14ac:dyDescent="0.3">
      <c r="A951" s="451"/>
      <c r="B951" s="450"/>
      <c r="C951" s="450"/>
      <c r="D951" s="450"/>
      <c r="E951" s="450"/>
      <c r="F951" s="450"/>
      <c r="G951" s="450"/>
      <c r="H951" s="450"/>
      <c r="I951" s="450"/>
      <c r="J951" s="450"/>
      <c r="K951" s="647"/>
      <c r="L951" s="712"/>
      <c r="M951" s="712"/>
      <c r="N951" s="712"/>
      <c r="O951" s="712"/>
      <c r="P951" s="712"/>
      <c r="Q951" s="712"/>
      <c r="R951" s="712"/>
      <c r="S951" s="712"/>
      <c r="T951" s="712"/>
      <c r="U951" s="712"/>
      <c r="V951" s="712"/>
      <c r="W951" s="644"/>
    </row>
    <row r="952" spans="1:23" ht="22.5" customHeight="1" thickTop="1" thickBot="1" x14ac:dyDescent="0.3">
      <c r="A952" s="451"/>
      <c r="B952" s="450"/>
      <c r="C952" s="450"/>
      <c r="D952" s="450"/>
      <c r="E952" s="450"/>
      <c r="F952" s="450"/>
      <c r="G952" s="450"/>
      <c r="H952" s="450"/>
      <c r="I952" s="450"/>
      <c r="J952" s="450"/>
      <c r="K952" s="647"/>
      <c r="L952" s="712"/>
      <c r="M952" s="712"/>
      <c r="N952" s="712"/>
      <c r="O952" s="712"/>
      <c r="P952" s="712"/>
      <c r="Q952" s="712"/>
      <c r="R952" s="712"/>
      <c r="S952" s="712"/>
      <c r="T952" s="712"/>
      <c r="U952" s="712"/>
      <c r="V952" s="712"/>
      <c r="W952" s="644"/>
    </row>
    <row r="953" spans="1:23" ht="22.5" customHeight="1" thickTop="1" thickBot="1" x14ac:dyDescent="0.3">
      <c r="A953" s="451"/>
      <c r="B953" s="450"/>
      <c r="C953" s="450"/>
      <c r="D953" s="450"/>
      <c r="E953" s="450"/>
      <c r="F953" s="450"/>
      <c r="G953" s="450"/>
      <c r="H953" s="450"/>
      <c r="I953" s="450"/>
      <c r="J953" s="450"/>
      <c r="K953" s="647"/>
      <c r="L953" s="712"/>
      <c r="M953" s="712"/>
      <c r="N953" s="712"/>
      <c r="O953" s="712"/>
      <c r="P953" s="712"/>
      <c r="Q953" s="712"/>
      <c r="R953" s="712"/>
      <c r="S953" s="712"/>
      <c r="T953" s="712"/>
      <c r="U953" s="712"/>
      <c r="V953" s="712"/>
      <c r="W953" s="644"/>
    </row>
    <row r="954" spans="1:23" ht="22.5" customHeight="1" thickTop="1" thickBot="1" x14ac:dyDescent="0.3">
      <c r="A954" s="451"/>
      <c r="B954" s="450"/>
      <c r="C954" s="450"/>
      <c r="D954" s="450"/>
      <c r="E954" s="450"/>
      <c r="F954" s="450"/>
      <c r="G954" s="450"/>
      <c r="H954" s="450"/>
      <c r="I954" s="450"/>
      <c r="J954" s="450"/>
      <c r="K954" s="647"/>
      <c r="L954" s="712"/>
      <c r="M954" s="712"/>
      <c r="N954" s="712"/>
      <c r="O954" s="712"/>
      <c r="P954" s="712"/>
      <c r="Q954" s="712"/>
      <c r="R954" s="712"/>
      <c r="S954" s="712"/>
      <c r="T954" s="712"/>
      <c r="U954" s="712"/>
      <c r="V954" s="712"/>
      <c r="W954" s="644"/>
    </row>
    <row r="955" spans="1:23" ht="22.5" customHeight="1" thickTop="1" thickBot="1" x14ac:dyDescent="0.3">
      <c r="A955" s="451"/>
      <c r="B955" s="450"/>
      <c r="C955" s="450"/>
      <c r="D955" s="450"/>
      <c r="E955" s="450"/>
      <c r="F955" s="450"/>
      <c r="G955" s="450"/>
      <c r="H955" s="450"/>
      <c r="I955" s="450"/>
      <c r="J955" s="450"/>
      <c r="K955" s="647"/>
      <c r="L955" s="712"/>
      <c r="M955" s="712"/>
      <c r="N955" s="712"/>
      <c r="O955" s="712"/>
      <c r="P955" s="712"/>
      <c r="Q955" s="712"/>
      <c r="R955" s="712"/>
      <c r="S955" s="712"/>
      <c r="T955" s="712"/>
      <c r="U955" s="712"/>
      <c r="V955" s="712"/>
      <c r="W955" s="644"/>
    </row>
    <row r="956" spans="1:23" ht="22.5" customHeight="1" thickTop="1" thickBot="1" x14ac:dyDescent="0.3">
      <c r="A956" s="451"/>
      <c r="B956" s="450"/>
      <c r="C956" s="450"/>
      <c r="D956" s="450"/>
      <c r="E956" s="450"/>
      <c r="F956" s="450"/>
      <c r="G956" s="450"/>
      <c r="H956" s="450"/>
      <c r="I956" s="450"/>
      <c r="J956" s="450"/>
      <c r="K956" s="647"/>
      <c r="L956" s="712"/>
      <c r="M956" s="712"/>
      <c r="N956" s="712"/>
      <c r="O956" s="712"/>
      <c r="P956" s="712"/>
      <c r="Q956" s="712"/>
      <c r="R956" s="712"/>
      <c r="S956" s="712"/>
      <c r="T956" s="712"/>
      <c r="U956" s="712"/>
      <c r="V956" s="712"/>
      <c r="W956" s="644"/>
    </row>
    <row r="957" spans="1:23" ht="22.5" customHeight="1" thickTop="1" thickBot="1" x14ac:dyDescent="0.3">
      <c r="A957" s="451"/>
      <c r="B957" s="450"/>
      <c r="C957" s="450"/>
      <c r="D957" s="450"/>
      <c r="E957" s="450"/>
      <c r="F957" s="450"/>
      <c r="G957" s="450"/>
      <c r="H957" s="450"/>
      <c r="I957" s="450"/>
      <c r="J957" s="450"/>
      <c r="K957" s="647"/>
      <c r="L957" s="712"/>
      <c r="M957" s="712"/>
      <c r="N957" s="712"/>
      <c r="O957" s="712"/>
      <c r="P957" s="712"/>
      <c r="Q957" s="712"/>
      <c r="R957" s="712"/>
      <c r="S957" s="712"/>
      <c r="T957" s="712"/>
      <c r="U957" s="712"/>
      <c r="V957" s="712"/>
      <c r="W957" s="644"/>
    </row>
    <row r="958" spans="1:23" ht="22.5" customHeight="1" thickTop="1" thickBot="1" x14ac:dyDescent="0.3">
      <c r="A958" s="451"/>
      <c r="B958" s="450"/>
      <c r="C958" s="450"/>
      <c r="D958" s="450"/>
      <c r="E958" s="450"/>
      <c r="F958" s="450"/>
      <c r="G958" s="450"/>
      <c r="H958" s="450"/>
      <c r="I958" s="450"/>
      <c r="J958" s="450"/>
      <c r="K958" s="647"/>
      <c r="L958" s="712"/>
      <c r="M958" s="712"/>
      <c r="N958" s="712"/>
      <c r="O958" s="712"/>
      <c r="P958" s="712"/>
      <c r="Q958" s="712"/>
      <c r="R958" s="712"/>
      <c r="S958" s="712"/>
      <c r="T958" s="712"/>
      <c r="U958" s="712"/>
      <c r="V958" s="712"/>
      <c r="W958" s="644"/>
    </row>
    <row r="959" spans="1:23" ht="22.5" customHeight="1" thickTop="1" thickBot="1" x14ac:dyDescent="0.3">
      <c r="A959" s="451"/>
      <c r="B959" s="450"/>
      <c r="C959" s="450"/>
      <c r="D959" s="450"/>
      <c r="E959" s="450"/>
      <c r="F959" s="450"/>
      <c r="G959" s="450"/>
      <c r="H959" s="450"/>
      <c r="I959" s="450"/>
      <c r="J959" s="450"/>
      <c r="K959" s="647"/>
      <c r="L959" s="712"/>
      <c r="M959" s="712"/>
      <c r="N959" s="712"/>
      <c r="O959" s="712"/>
      <c r="P959" s="712"/>
      <c r="Q959" s="712"/>
      <c r="R959" s="712"/>
      <c r="S959" s="712"/>
      <c r="T959" s="712"/>
      <c r="U959" s="712"/>
      <c r="V959" s="712"/>
      <c r="W959" s="644"/>
    </row>
    <row r="960" spans="1:23" ht="22.5" customHeight="1" thickTop="1" thickBot="1" x14ac:dyDescent="0.3">
      <c r="A960" s="451"/>
      <c r="B960" s="450"/>
      <c r="C960" s="450"/>
      <c r="D960" s="450"/>
      <c r="E960" s="450"/>
      <c r="F960" s="450"/>
      <c r="G960" s="450"/>
      <c r="H960" s="450"/>
      <c r="I960" s="450"/>
      <c r="J960" s="450"/>
      <c r="K960" s="647"/>
      <c r="L960" s="712"/>
      <c r="M960" s="712"/>
      <c r="N960" s="712"/>
      <c r="O960" s="712"/>
      <c r="P960" s="712"/>
      <c r="Q960" s="712"/>
      <c r="R960" s="712"/>
      <c r="S960" s="712"/>
      <c r="T960" s="712"/>
      <c r="U960" s="712"/>
      <c r="V960" s="712"/>
      <c r="W960" s="644"/>
    </row>
    <row r="961" spans="1:23" ht="22.5" customHeight="1" thickTop="1" thickBot="1" x14ac:dyDescent="0.3">
      <c r="A961" s="451"/>
      <c r="B961" s="450"/>
      <c r="C961" s="450"/>
      <c r="D961" s="450"/>
      <c r="E961" s="450"/>
      <c r="F961" s="450"/>
      <c r="G961" s="450"/>
      <c r="H961" s="450"/>
      <c r="I961" s="450"/>
      <c r="J961" s="450"/>
      <c r="K961" s="647"/>
      <c r="L961" s="712"/>
      <c r="M961" s="712"/>
      <c r="N961" s="712"/>
      <c r="O961" s="712"/>
      <c r="P961" s="712"/>
      <c r="Q961" s="712"/>
      <c r="R961" s="712"/>
      <c r="S961" s="712"/>
      <c r="T961" s="712"/>
      <c r="U961" s="712"/>
      <c r="V961" s="712"/>
      <c r="W961" s="644"/>
    </row>
    <row r="962" spans="1:23" ht="22.5" customHeight="1" thickTop="1" thickBot="1" x14ac:dyDescent="0.3">
      <c r="A962" s="451"/>
      <c r="B962" s="450"/>
      <c r="C962" s="450"/>
      <c r="D962" s="450"/>
      <c r="E962" s="450"/>
      <c r="F962" s="450"/>
      <c r="G962" s="450"/>
      <c r="H962" s="450"/>
      <c r="I962" s="450"/>
      <c r="J962" s="450"/>
      <c r="K962" s="647"/>
      <c r="L962" s="712"/>
      <c r="M962" s="712"/>
      <c r="N962" s="712"/>
      <c r="O962" s="712"/>
      <c r="P962" s="712"/>
      <c r="Q962" s="712"/>
      <c r="R962" s="712"/>
      <c r="S962" s="712"/>
      <c r="T962" s="712"/>
      <c r="U962" s="712"/>
      <c r="V962" s="712"/>
      <c r="W962" s="644"/>
    </row>
    <row r="963" spans="1:23" ht="22.5" customHeight="1" thickTop="1" thickBot="1" x14ac:dyDescent="0.3">
      <c r="A963" s="451"/>
      <c r="B963" s="450"/>
      <c r="C963" s="450"/>
      <c r="D963" s="450"/>
      <c r="E963" s="450"/>
      <c r="F963" s="450"/>
      <c r="G963" s="450"/>
      <c r="H963" s="450"/>
      <c r="I963" s="450"/>
      <c r="J963" s="450"/>
      <c r="K963" s="647"/>
      <c r="L963" s="712"/>
      <c r="M963" s="712"/>
      <c r="N963" s="712"/>
      <c r="O963" s="712"/>
      <c r="P963" s="712"/>
      <c r="Q963" s="712"/>
      <c r="R963" s="712"/>
      <c r="S963" s="712"/>
      <c r="T963" s="712"/>
      <c r="U963" s="712"/>
      <c r="V963" s="712"/>
      <c r="W963" s="644"/>
    </row>
    <row r="964" spans="1:23" ht="22.5" customHeight="1" thickTop="1" thickBot="1" x14ac:dyDescent="0.3">
      <c r="A964" s="451"/>
      <c r="B964" s="450"/>
      <c r="C964" s="450"/>
      <c r="D964" s="450"/>
      <c r="E964" s="450"/>
      <c r="F964" s="450"/>
      <c r="G964" s="450"/>
      <c r="H964" s="450"/>
      <c r="I964" s="450"/>
      <c r="J964" s="450"/>
      <c r="K964" s="647"/>
      <c r="L964" s="712"/>
      <c r="M964" s="712"/>
      <c r="N964" s="712"/>
      <c r="O964" s="712"/>
      <c r="P964" s="712"/>
      <c r="Q964" s="712"/>
      <c r="R964" s="712"/>
      <c r="S964" s="712"/>
      <c r="T964" s="712"/>
      <c r="U964" s="712"/>
      <c r="V964" s="712"/>
      <c r="W964" s="644"/>
    </row>
    <row r="965" spans="1:23" ht="22.5" customHeight="1" thickTop="1" thickBot="1" x14ac:dyDescent="0.3">
      <c r="A965" s="451"/>
      <c r="B965" s="450"/>
      <c r="C965" s="450"/>
      <c r="D965" s="450"/>
      <c r="E965" s="450"/>
      <c r="F965" s="450"/>
      <c r="G965" s="450"/>
      <c r="H965" s="450"/>
      <c r="I965" s="450"/>
      <c r="J965" s="450"/>
      <c r="K965" s="647"/>
      <c r="L965" s="712"/>
      <c r="M965" s="712"/>
      <c r="N965" s="712"/>
      <c r="O965" s="712"/>
      <c r="P965" s="712"/>
      <c r="Q965" s="712"/>
      <c r="R965" s="712"/>
      <c r="S965" s="712"/>
      <c r="T965" s="712"/>
      <c r="U965" s="712"/>
      <c r="V965" s="712"/>
      <c r="W965" s="644"/>
    </row>
    <row r="966" spans="1:23" ht="22.5" customHeight="1" thickTop="1" thickBot="1" x14ac:dyDescent="0.3">
      <c r="A966" s="451"/>
      <c r="B966" s="450"/>
      <c r="C966" s="450"/>
      <c r="D966" s="450"/>
      <c r="E966" s="450"/>
      <c r="F966" s="450"/>
      <c r="G966" s="450"/>
      <c r="H966" s="450"/>
      <c r="I966" s="450"/>
      <c r="J966" s="450"/>
      <c r="K966" s="647"/>
      <c r="L966" s="712"/>
      <c r="M966" s="712"/>
      <c r="N966" s="712"/>
      <c r="O966" s="712"/>
      <c r="P966" s="712"/>
      <c r="Q966" s="712"/>
      <c r="R966" s="712"/>
      <c r="S966" s="712"/>
      <c r="T966" s="712"/>
      <c r="U966" s="712"/>
      <c r="V966" s="712"/>
      <c r="W966" s="644"/>
    </row>
    <row r="967" spans="1:23" ht="22.5" customHeight="1" thickTop="1" thickBot="1" x14ac:dyDescent="0.3">
      <c r="A967" s="451"/>
      <c r="B967" s="450"/>
      <c r="C967" s="450"/>
      <c r="D967" s="450"/>
      <c r="E967" s="450"/>
      <c r="F967" s="450"/>
      <c r="G967" s="450"/>
      <c r="H967" s="450"/>
      <c r="I967" s="450"/>
      <c r="J967" s="450"/>
      <c r="K967" s="647"/>
      <c r="L967" s="712"/>
      <c r="M967" s="712"/>
      <c r="N967" s="712"/>
      <c r="O967" s="712"/>
      <c r="P967" s="712"/>
      <c r="Q967" s="712"/>
      <c r="R967" s="712"/>
      <c r="S967" s="712"/>
      <c r="T967" s="712"/>
      <c r="U967" s="712"/>
      <c r="V967" s="712"/>
      <c r="W967" s="644"/>
    </row>
    <row r="968" spans="1:23" ht="22.5" customHeight="1" thickTop="1" thickBot="1" x14ac:dyDescent="0.3">
      <c r="A968" s="451"/>
      <c r="B968" s="450"/>
      <c r="C968" s="450"/>
      <c r="D968" s="450"/>
      <c r="E968" s="450"/>
      <c r="F968" s="450"/>
      <c r="G968" s="450"/>
      <c r="H968" s="450"/>
      <c r="I968" s="450"/>
      <c r="J968" s="450"/>
      <c r="K968" s="647"/>
      <c r="L968" s="712"/>
      <c r="M968" s="712"/>
      <c r="N968" s="712"/>
      <c r="O968" s="712"/>
      <c r="P968" s="712"/>
      <c r="Q968" s="712"/>
      <c r="R968" s="712"/>
      <c r="S968" s="712"/>
      <c r="T968" s="712"/>
      <c r="U968" s="712"/>
      <c r="V968" s="712"/>
      <c r="W968" s="644"/>
    </row>
    <row r="969" spans="1:23" ht="22.5" customHeight="1" thickTop="1" thickBot="1" x14ac:dyDescent="0.3">
      <c r="A969" s="451"/>
      <c r="B969" s="450"/>
      <c r="C969" s="450"/>
      <c r="D969" s="450"/>
      <c r="E969" s="450"/>
      <c r="F969" s="450"/>
      <c r="G969" s="450"/>
      <c r="H969" s="450"/>
      <c r="I969" s="450"/>
      <c r="J969" s="450"/>
      <c r="K969" s="647"/>
      <c r="L969" s="712"/>
      <c r="M969" s="712"/>
      <c r="N969" s="712"/>
      <c r="O969" s="712"/>
      <c r="P969" s="712"/>
      <c r="Q969" s="712"/>
      <c r="R969" s="712"/>
      <c r="S969" s="712"/>
      <c r="T969" s="712"/>
      <c r="U969" s="712"/>
      <c r="V969" s="712"/>
      <c r="W969" s="644"/>
    </row>
    <row r="970" spans="1:23" ht="22.5" customHeight="1" thickTop="1" thickBot="1" x14ac:dyDescent="0.3">
      <c r="A970" s="451"/>
      <c r="B970" s="450"/>
      <c r="C970" s="450"/>
      <c r="D970" s="450"/>
      <c r="E970" s="450"/>
      <c r="F970" s="450"/>
      <c r="G970" s="450"/>
      <c r="H970" s="450"/>
      <c r="I970" s="450"/>
      <c r="J970" s="450"/>
      <c r="K970" s="647"/>
      <c r="L970" s="712"/>
      <c r="M970" s="712"/>
      <c r="N970" s="712"/>
      <c r="O970" s="712"/>
      <c r="P970" s="712"/>
      <c r="Q970" s="712"/>
      <c r="R970" s="712"/>
      <c r="S970" s="712"/>
      <c r="T970" s="712"/>
      <c r="U970" s="712"/>
      <c r="V970" s="712"/>
      <c r="W970" s="644"/>
    </row>
    <row r="971" spans="1:23" ht="22.5" customHeight="1" thickTop="1" thickBot="1" x14ac:dyDescent="0.3">
      <c r="A971" s="451"/>
      <c r="B971" s="450"/>
      <c r="C971" s="450"/>
      <c r="D971" s="450"/>
      <c r="E971" s="450"/>
      <c r="F971" s="450"/>
      <c r="G971" s="450"/>
      <c r="H971" s="450"/>
      <c r="I971" s="450"/>
      <c r="J971" s="450"/>
      <c r="K971" s="647"/>
      <c r="L971" s="712"/>
      <c r="M971" s="712"/>
      <c r="N971" s="712"/>
      <c r="O971" s="712"/>
      <c r="P971" s="712"/>
      <c r="Q971" s="712"/>
      <c r="R971" s="712"/>
      <c r="S971" s="712"/>
      <c r="T971" s="712"/>
      <c r="U971" s="712"/>
      <c r="V971" s="712"/>
      <c r="W971" s="644"/>
    </row>
    <row r="972" spans="1:23" ht="22.5" customHeight="1" thickTop="1" thickBot="1" x14ac:dyDescent="0.3">
      <c r="A972" s="451"/>
      <c r="B972" s="450"/>
      <c r="C972" s="450"/>
      <c r="D972" s="450"/>
      <c r="E972" s="450"/>
      <c r="F972" s="450"/>
      <c r="G972" s="450"/>
      <c r="H972" s="450"/>
      <c r="I972" s="450"/>
      <c r="J972" s="450"/>
      <c r="K972" s="647"/>
      <c r="L972" s="712"/>
      <c r="M972" s="712"/>
      <c r="N972" s="712"/>
      <c r="O972" s="712"/>
      <c r="P972" s="712"/>
      <c r="Q972" s="712"/>
      <c r="R972" s="712"/>
      <c r="S972" s="712"/>
      <c r="T972" s="712"/>
      <c r="U972" s="712"/>
      <c r="V972" s="712"/>
      <c r="W972" s="644"/>
    </row>
    <row r="973" spans="1:23" ht="22.5" customHeight="1" thickTop="1" thickBot="1" x14ac:dyDescent="0.3">
      <c r="A973" s="451"/>
      <c r="B973" s="450"/>
      <c r="C973" s="450"/>
      <c r="D973" s="450"/>
      <c r="E973" s="450"/>
      <c r="F973" s="450"/>
      <c r="G973" s="450"/>
      <c r="H973" s="450"/>
      <c r="I973" s="450"/>
      <c r="J973" s="450"/>
      <c r="K973" s="647"/>
      <c r="L973" s="712"/>
      <c r="M973" s="712"/>
      <c r="N973" s="712"/>
      <c r="O973" s="712"/>
      <c r="P973" s="712"/>
      <c r="Q973" s="712"/>
      <c r="R973" s="712"/>
      <c r="S973" s="712"/>
      <c r="T973" s="712"/>
      <c r="U973" s="712"/>
      <c r="V973" s="712"/>
      <c r="W973" s="644"/>
    </row>
    <row r="974" spans="1:23" ht="22.5" customHeight="1" thickTop="1" thickBot="1" x14ac:dyDescent="0.3">
      <c r="A974" s="451"/>
      <c r="B974" s="450"/>
      <c r="C974" s="450"/>
      <c r="D974" s="450"/>
      <c r="E974" s="450"/>
      <c r="F974" s="450"/>
      <c r="G974" s="450"/>
      <c r="H974" s="450"/>
      <c r="I974" s="450"/>
      <c r="J974" s="450"/>
      <c r="K974" s="647"/>
      <c r="L974" s="712"/>
      <c r="M974" s="712"/>
      <c r="N974" s="712"/>
      <c r="O974" s="712"/>
      <c r="P974" s="712"/>
      <c r="Q974" s="712"/>
      <c r="R974" s="712"/>
      <c r="S974" s="712"/>
      <c r="T974" s="712"/>
      <c r="U974" s="712"/>
      <c r="V974" s="712"/>
      <c r="W974" s="644"/>
    </row>
    <row r="975" spans="1:23" ht="22.5" customHeight="1" thickTop="1" thickBot="1" x14ac:dyDescent="0.3">
      <c r="A975" s="451"/>
      <c r="B975" s="450"/>
      <c r="C975" s="450"/>
      <c r="D975" s="450"/>
      <c r="E975" s="450"/>
      <c r="F975" s="450"/>
      <c r="G975" s="450"/>
      <c r="H975" s="450"/>
      <c r="I975" s="450"/>
      <c r="J975" s="450"/>
      <c r="K975" s="647"/>
      <c r="L975" s="712"/>
      <c r="M975" s="712"/>
      <c r="N975" s="712"/>
      <c r="O975" s="712"/>
      <c r="P975" s="712"/>
      <c r="Q975" s="712"/>
      <c r="R975" s="712"/>
      <c r="S975" s="712"/>
      <c r="T975" s="712"/>
      <c r="U975" s="712"/>
      <c r="V975" s="712"/>
      <c r="W975" s="644"/>
    </row>
    <row r="976" spans="1:23" ht="22.5" customHeight="1" thickTop="1" thickBot="1" x14ac:dyDescent="0.3">
      <c r="A976" s="451"/>
      <c r="B976" s="450"/>
      <c r="C976" s="450"/>
      <c r="D976" s="450"/>
      <c r="E976" s="450"/>
      <c r="F976" s="450"/>
      <c r="G976" s="450"/>
      <c r="H976" s="450"/>
      <c r="I976" s="450"/>
      <c r="J976" s="450"/>
      <c r="K976" s="647"/>
      <c r="L976" s="712"/>
      <c r="M976" s="712"/>
      <c r="N976" s="712"/>
      <c r="O976" s="712"/>
      <c r="P976" s="712"/>
      <c r="Q976" s="712"/>
      <c r="R976" s="712"/>
      <c r="S976" s="712"/>
      <c r="T976" s="712"/>
      <c r="U976" s="712"/>
      <c r="V976" s="712"/>
      <c r="W976" s="644"/>
    </row>
    <row r="977" spans="1:23" ht="22.5" customHeight="1" thickTop="1" thickBot="1" x14ac:dyDescent="0.3">
      <c r="A977" s="451"/>
      <c r="B977" s="450"/>
      <c r="C977" s="450"/>
      <c r="D977" s="450"/>
      <c r="E977" s="450"/>
      <c r="F977" s="450"/>
      <c r="G977" s="450"/>
      <c r="H977" s="450"/>
      <c r="I977" s="450"/>
      <c r="J977" s="450"/>
      <c r="K977" s="647"/>
      <c r="L977" s="712"/>
      <c r="M977" s="712"/>
      <c r="N977" s="712"/>
      <c r="O977" s="712"/>
      <c r="P977" s="712"/>
      <c r="Q977" s="712"/>
      <c r="R977" s="712"/>
      <c r="S977" s="712"/>
      <c r="T977" s="712"/>
      <c r="U977" s="712"/>
      <c r="V977" s="712"/>
      <c r="W977" s="644"/>
    </row>
    <row r="978" spans="1:23" ht="22.5" customHeight="1" thickTop="1" thickBot="1" x14ac:dyDescent="0.3">
      <c r="A978" s="451"/>
      <c r="B978" s="450"/>
      <c r="C978" s="450"/>
      <c r="D978" s="450"/>
      <c r="E978" s="450"/>
      <c r="F978" s="450"/>
      <c r="G978" s="450"/>
      <c r="H978" s="450"/>
      <c r="I978" s="450"/>
      <c r="J978" s="450"/>
      <c r="K978" s="647"/>
      <c r="L978" s="712"/>
      <c r="M978" s="712"/>
      <c r="N978" s="712"/>
      <c r="O978" s="712"/>
      <c r="P978" s="712"/>
      <c r="Q978" s="712"/>
      <c r="R978" s="712"/>
      <c r="S978" s="712"/>
      <c r="T978" s="712"/>
      <c r="U978" s="712"/>
      <c r="V978" s="712"/>
      <c r="W978" s="644"/>
    </row>
    <row r="979" spans="1:23" ht="22.5" customHeight="1" thickTop="1" thickBot="1" x14ac:dyDescent="0.3">
      <c r="A979" s="451"/>
      <c r="B979" s="450"/>
      <c r="C979" s="450"/>
      <c r="D979" s="450"/>
      <c r="E979" s="450"/>
      <c r="F979" s="450"/>
      <c r="G979" s="450"/>
      <c r="H979" s="450"/>
      <c r="I979" s="450"/>
      <c r="J979" s="450"/>
      <c r="K979" s="647"/>
      <c r="L979" s="712"/>
      <c r="M979" s="712"/>
      <c r="N979" s="712"/>
      <c r="O979" s="712"/>
      <c r="P979" s="712"/>
      <c r="Q979" s="712"/>
      <c r="R979" s="712"/>
      <c r="S979" s="712"/>
      <c r="T979" s="712"/>
      <c r="U979" s="712"/>
      <c r="V979" s="712"/>
      <c r="W979" s="644"/>
    </row>
    <row r="980" spans="1:23" ht="22.5" customHeight="1" thickTop="1" thickBot="1" x14ac:dyDescent="0.3">
      <c r="A980" s="451"/>
      <c r="B980" s="450"/>
      <c r="C980" s="450"/>
      <c r="D980" s="450"/>
      <c r="E980" s="450"/>
      <c r="F980" s="450"/>
      <c r="G980" s="450"/>
      <c r="H980" s="450"/>
      <c r="I980" s="450"/>
      <c r="J980" s="450"/>
      <c r="K980" s="647"/>
      <c r="L980" s="712"/>
      <c r="M980" s="712"/>
      <c r="N980" s="712"/>
      <c r="O980" s="712"/>
      <c r="P980" s="712"/>
      <c r="Q980" s="712"/>
      <c r="R980" s="712"/>
      <c r="S980" s="712"/>
      <c r="T980" s="712"/>
      <c r="U980" s="712"/>
      <c r="V980" s="712"/>
      <c r="W980" s="644"/>
    </row>
    <row r="981" spans="1:23" ht="22.5" customHeight="1" thickTop="1" thickBot="1" x14ac:dyDescent="0.3">
      <c r="A981" s="451"/>
      <c r="B981" s="450"/>
      <c r="C981" s="450"/>
      <c r="D981" s="450"/>
      <c r="E981" s="450"/>
      <c r="F981" s="450"/>
      <c r="G981" s="450"/>
      <c r="H981" s="450"/>
      <c r="I981" s="450"/>
      <c r="J981" s="450"/>
      <c r="K981" s="647"/>
      <c r="L981" s="712"/>
      <c r="M981" s="712"/>
      <c r="N981" s="712"/>
      <c r="O981" s="712"/>
      <c r="P981" s="712"/>
      <c r="Q981" s="712"/>
      <c r="R981" s="712"/>
      <c r="S981" s="712"/>
      <c r="T981" s="712"/>
      <c r="U981" s="712"/>
      <c r="V981" s="712"/>
      <c r="W981" s="644"/>
    </row>
    <row r="982" spans="1:23" ht="22.5" customHeight="1" thickTop="1" thickBot="1" x14ac:dyDescent="0.3">
      <c r="A982" s="451"/>
      <c r="B982" s="450"/>
      <c r="C982" s="450"/>
      <c r="D982" s="450"/>
      <c r="E982" s="450"/>
      <c r="F982" s="450"/>
      <c r="G982" s="450"/>
      <c r="H982" s="450"/>
      <c r="I982" s="450"/>
      <c r="J982" s="450"/>
      <c r="K982" s="647"/>
      <c r="L982" s="712"/>
      <c r="M982" s="712"/>
      <c r="N982" s="712"/>
      <c r="O982" s="712"/>
      <c r="P982" s="712"/>
      <c r="Q982" s="712"/>
      <c r="R982" s="712"/>
      <c r="S982" s="712"/>
      <c r="T982" s="712"/>
      <c r="U982" s="712"/>
      <c r="V982" s="712"/>
      <c r="W982" s="644"/>
    </row>
    <row r="983" spans="1:23" ht="22.5" customHeight="1" thickTop="1" thickBot="1" x14ac:dyDescent="0.3">
      <c r="A983" s="451"/>
      <c r="B983" s="450"/>
      <c r="C983" s="450"/>
      <c r="D983" s="450"/>
      <c r="E983" s="450"/>
      <c r="F983" s="450"/>
      <c r="G983" s="450"/>
      <c r="H983" s="450"/>
      <c r="I983" s="450"/>
      <c r="J983" s="450"/>
      <c r="K983" s="647"/>
      <c r="L983" s="712"/>
      <c r="M983" s="712"/>
      <c r="N983" s="712"/>
      <c r="O983" s="712"/>
      <c r="P983" s="712"/>
      <c r="Q983" s="712"/>
      <c r="R983" s="712"/>
      <c r="S983" s="712"/>
      <c r="T983" s="712"/>
      <c r="U983" s="712"/>
      <c r="V983" s="712"/>
      <c r="W983" s="644"/>
    </row>
    <row r="984" spans="1:23" ht="22.5" customHeight="1" thickTop="1" thickBot="1" x14ac:dyDescent="0.3">
      <c r="A984" s="451"/>
      <c r="B984" s="450"/>
      <c r="C984" s="450"/>
      <c r="D984" s="450"/>
      <c r="E984" s="450"/>
      <c r="F984" s="450"/>
      <c r="G984" s="450"/>
      <c r="H984" s="450"/>
      <c r="I984" s="450"/>
      <c r="J984" s="450"/>
      <c r="K984" s="647"/>
      <c r="L984" s="712"/>
      <c r="M984" s="712"/>
      <c r="N984" s="712"/>
      <c r="O984" s="712"/>
      <c r="P984" s="712"/>
      <c r="Q984" s="712"/>
      <c r="R984" s="712"/>
      <c r="S984" s="712"/>
      <c r="T984" s="712"/>
      <c r="U984" s="712"/>
      <c r="V984" s="712"/>
      <c r="W984" s="644"/>
    </row>
    <row r="985" spans="1:23" ht="22.5" customHeight="1" thickTop="1" thickBot="1" x14ac:dyDescent="0.3">
      <c r="A985" s="451"/>
      <c r="B985" s="450"/>
      <c r="C985" s="450"/>
      <c r="D985" s="450"/>
      <c r="E985" s="450"/>
      <c r="F985" s="450"/>
      <c r="G985" s="450"/>
      <c r="H985" s="450"/>
      <c r="I985" s="450"/>
      <c r="J985" s="450"/>
      <c r="K985" s="647"/>
      <c r="L985" s="712"/>
      <c r="M985" s="712"/>
      <c r="N985" s="712"/>
      <c r="O985" s="712"/>
      <c r="P985" s="712"/>
      <c r="Q985" s="712"/>
      <c r="R985" s="712"/>
      <c r="S985" s="712"/>
      <c r="T985" s="712"/>
      <c r="U985" s="712"/>
      <c r="V985" s="712"/>
      <c r="W985" s="644"/>
    </row>
    <row r="986" spans="1:23" ht="22.5" customHeight="1" thickTop="1" thickBot="1" x14ac:dyDescent="0.3">
      <c r="A986" s="451"/>
      <c r="B986" s="450"/>
      <c r="C986" s="450"/>
      <c r="D986" s="450"/>
      <c r="E986" s="450"/>
      <c r="F986" s="450"/>
      <c r="G986" s="450"/>
      <c r="H986" s="450"/>
      <c r="I986" s="450"/>
      <c r="J986" s="450"/>
      <c r="K986" s="647"/>
      <c r="L986" s="712"/>
      <c r="M986" s="712"/>
      <c r="N986" s="712"/>
      <c r="O986" s="712"/>
      <c r="P986" s="712"/>
      <c r="Q986" s="712"/>
      <c r="R986" s="712"/>
      <c r="S986" s="712"/>
      <c r="T986" s="712"/>
      <c r="U986" s="712"/>
      <c r="V986" s="712"/>
      <c r="W986" s="644"/>
    </row>
    <row r="987" spans="1:23" ht="36" customHeight="1" thickTop="1" thickBot="1" x14ac:dyDescent="0.3">
      <c r="A987" s="446" t="s">
        <v>1343</v>
      </c>
      <c r="B987" s="446" t="s">
        <v>1350</v>
      </c>
      <c r="C987" s="446"/>
      <c r="D987" s="446"/>
      <c r="E987" s="446"/>
      <c r="F987" s="446"/>
      <c r="G987" s="446"/>
      <c r="H987" s="446"/>
      <c r="I987" s="713"/>
      <c r="J987" s="713"/>
      <c r="K987" s="714" t="s">
        <v>1890</v>
      </c>
      <c r="L987" s="715">
        <f>+L988+L992</f>
        <v>0</v>
      </c>
      <c r="M987" s="715">
        <f t="shared" ref="M987:U987" si="160">+M988+M992</f>
        <v>0</v>
      </c>
      <c r="N987" s="715">
        <f t="shared" si="160"/>
        <v>0</v>
      </c>
      <c r="O987" s="715">
        <f t="shared" ref="O987:O1006" si="161">L987+M987-N987</f>
        <v>0</v>
      </c>
      <c r="P987" s="715">
        <f t="shared" si="160"/>
        <v>0</v>
      </c>
      <c r="Q987" s="715">
        <f t="shared" si="160"/>
        <v>0</v>
      </c>
      <c r="R987" s="715">
        <f t="shared" si="160"/>
        <v>0</v>
      </c>
      <c r="S987" s="715">
        <f t="shared" si="160"/>
        <v>0</v>
      </c>
      <c r="T987" s="715">
        <f t="shared" si="160"/>
        <v>0</v>
      </c>
      <c r="U987" s="715">
        <f t="shared" si="160"/>
        <v>0</v>
      </c>
      <c r="V987" s="715" t="e">
        <f t="shared" ref="V987:V1006" si="162">U987/O987</f>
        <v>#DIV/0!</v>
      </c>
      <c r="W987" s="644"/>
    </row>
    <row r="988" spans="1:23" ht="18.75" customHeight="1" thickTop="1" thickBot="1" x14ac:dyDescent="0.3">
      <c r="A988" s="451">
        <v>1</v>
      </c>
      <c r="B988" s="450" t="s">
        <v>1350</v>
      </c>
      <c r="C988" s="450" t="s">
        <v>1345</v>
      </c>
      <c r="D988" s="450"/>
      <c r="E988" s="451"/>
      <c r="F988" s="450"/>
      <c r="G988" s="450"/>
      <c r="H988" s="450"/>
      <c r="I988" s="450"/>
      <c r="J988" s="450"/>
      <c r="K988" s="647" t="s">
        <v>1891</v>
      </c>
      <c r="L988" s="712">
        <f>SUM(L989:L991)</f>
        <v>0</v>
      </c>
      <c r="M988" s="712">
        <f t="shared" ref="M988:U988" si="163">SUM(M989:M991)</f>
        <v>0</v>
      </c>
      <c r="N988" s="712">
        <f t="shared" si="163"/>
        <v>0</v>
      </c>
      <c r="O988" s="712">
        <f t="shared" si="161"/>
        <v>0</v>
      </c>
      <c r="P988" s="712">
        <f t="shared" si="163"/>
        <v>0</v>
      </c>
      <c r="Q988" s="712">
        <f t="shared" si="163"/>
        <v>0</v>
      </c>
      <c r="R988" s="712">
        <f t="shared" si="163"/>
        <v>0</v>
      </c>
      <c r="S988" s="712">
        <f t="shared" si="163"/>
        <v>0</v>
      </c>
      <c r="T988" s="712">
        <f t="shared" si="163"/>
        <v>0</v>
      </c>
      <c r="U988" s="712">
        <f t="shared" si="163"/>
        <v>0</v>
      </c>
      <c r="V988" s="712" t="e">
        <f t="shared" si="162"/>
        <v>#DIV/0!</v>
      </c>
      <c r="W988" s="644"/>
    </row>
    <row r="989" spans="1:23" ht="18.75" customHeight="1" thickTop="1" thickBot="1" x14ac:dyDescent="0.3">
      <c r="A989" s="451">
        <v>1</v>
      </c>
      <c r="B989" s="450" t="s">
        <v>1350</v>
      </c>
      <c r="C989" s="450" t="s">
        <v>1345</v>
      </c>
      <c r="D989" s="450" t="s">
        <v>1345</v>
      </c>
      <c r="E989" s="450"/>
      <c r="F989" s="450"/>
      <c r="G989" s="450"/>
      <c r="H989" s="450"/>
      <c r="I989" s="450"/>
      <c r="J989" s="450"/>
      <c r="K989" s="647" t="s">
        <v>1367</v>
      </c>
      <c r="L989" s="712"/>
      <c r="M989" s="712"/>
      <c r="N989" s="712"/>
      <c r="O989" s="712">
        <f t="shared" si="161"/>
        <v>0</v>
      </c>
      <c r="P989" s="712"/>
      <c r="Q989" s="712"/>
      <c r="R989" s="712"/>
      <c r="S989" s="712"/>
      <c r="T989" s="712"/>
      <c r="U989" s="712"/>
      <c r="V989" s="712" t="e">
        <f t="shared" si="162"/>
        <v>#DIV/0!</v>
      </c>
      <c r="W989" s="644"/>
    </row>
    <row r="990" spans="1:23" ht="18.75" customHeight="1" thickTop="1" thickBot="1" x14ac:dyDescent="0.3">
      <c r="A990" s="451">
        <v>1</v>
      </c>
      <c r="B990" s="450" t="s">
        <v>1350</v>
      </c>
      <c r="C990" s="450" t="s">
        <v>1345</v>
      </c>
      <c r="D990" s="450" t="s">
        <v>1350</v>
      </c>
      <c r="E990" s="450"/>
      <c r="F990" s="450"/>
      <c r="G990" s="450"/>
      <c r="H990" s="450"/>
      <c r="I990" s="450"/>
      <c r="J990" s="450"/>
      <c r="K990" s="647" t="s">
        <v>1368</v>
      </c>
      <c r="L990" s="712"/>
      <c r="M990" s="712"/>
      <c r="N990" s="712"/>
      <c r="O990" s="712">
        <f t="shared" si="161"/>
        <v>0</v>
      </c>
      <c r="P990" s="712"/>
      <c r="Q990" s="712"/>
      <c r="R990" s="712"/>
      <c r="S990" s="712"/>
      <c r="T990" s="712"/>
      <c r="U990" s="712"/>
      <c r="V990" s="712" t="e">
        <f t="shared" si="162"/>
        <v>#DIV/0!</v>
      </c>
      <c r="W990" s="644"/>
    </row>
    <row r="991" spans="1:23" ht="18.75" customHeight="1" thickTop="1" thickBot="1" x14ac:dyDescent="0.3">
      <c r="A991" s="451">
        <v>1</v>
      </c>
      <c r="B991" s="450" t="s">
        <v>1350</v>
      </c>
      <c r="C991" s="450" t="s">
        <v>1345</v>
      </c>
      <c r="D991" s="450" t="s">
        <v>1354</v>
      </c>
      <c r="E991" s="450"/>
      <c r="F991" s="450"/>
      <c r="G991" s="450"/>
      <c r="H991" s="450"/>
      <c r="I991" s="450"/>
      <c r="J991" s="450"/>
      <c r="K991" s="647" t="s">
        <v>1369</v>
      </c>
      <c r="L991" s="712"/>
      <c r="M991" s="712"/>
      <c r="N991" s="712"/>
      <c r="O991" s="712">
        <f t="shared" si="161"/>
        <v>0</v>
      </c>
      <c r="P991" s="712"/>
      <c r="Q991" s="712"/>
      <c r="R991" s="712"/>
      <c r="S991" s="712"/>
      <c r="T991" s="712"/>
      <c r="U991" s="712"/>
      <c r="V991" s="712" t="e">
        <f t="shared" si="162"/>
        <v>#DIV/0!</v>
      </c>
      <c r="W991" s="644"/>
    </row>
    <row r="992" spans="1:23" ht="18.75" customHeight="1" thickTop="1" thickBot="1" x14ac:dyDescent="0.3">
      <c r="A992" s="451">
        <v>1</v>
      </c>
      <c r="B992" s="450" t="s">
        <v>1350</v>
      </c>
      <c r="C992" s="450" t="s">
        <v>1350</v>
      </c>
      <c r="D992" s="450"/>
      <c r="E992" s="451"/>
      <c r="F992" s="450"/>
      <c r="G992" s="450"/>
      <c r="H992" s="450"/>
      <c r="I992" s="450"/>
      <c r="J992" s="450"/>
      <c r="K992" s="647" t="s">
        <v>1892</v>
      </c>
      <c r="L992" s="712"/>
      <c r="M992" s="712"/>
      <c r="N992" s="712"/>
      <c r="O992" s="712">
        <f t="shared" si="161"/>
        <v>0</v>
      </c>
      <c r="P992" s="712"/>
      <c r="Q992" s="712"/>
      <c r="R992" s="712"/>
      <c r="S992" s="712"/>
      <c r="T992" s="712"/>
      <c r="U992" s="712"/>
      <c r="V992" s="712" t="e">
        <f t="shared" si="162"/>
        <v>#DIV/0!</v>
      </c>
      <c r="W992" s="644"/>
    </row>
    <row r="993" spans="1:23" ht="36" customHeight="1" thickTop="1" thickBot="1" x14ac:dyDescent="0.3">
      <c r="A993" s="446">
        <v>1</v>
      </c>
      <c r="B993" s="446" t="s">
        <v>1354</v>
      </c>
      <c r="C993" s="446"/>
      <c r="D993" s="446"/>
      <c r="E993" s="446"/>
      <c r="F993" s="446"/>
      <c r="G993" s="446"/>
      <c r="H993" s="446"/>
      <c r="I993" s="713"/>
      <c r="J993" s="713"/>
      <c r="K993" s="716" t="s">
        <v>1893</v>
      </c>
      <c r="L993" s="715">
        <f>+L994+L998</f>
        <v>0</v>
      </c>
      <c r="M993" s="715">
        <f t="shared" ref="M993:U993" si="164">+M994+M998</f>
        <v>0</v>
      </c>
      <c r="N993" s="715">
        <f t="shared" si="164"/>
        <v>0</v>
      </c>
      <c r="O993" s="715">
        <f t="shared" si="161"/>
        <v>0</v>
      </c>
      <c r="P993" s="715">
        <f t="shared" si="164"/>
        <v>0</v>
      </c>
      <c r="Q993" s="715">
        <f t="shared" si="164"/>
        <v>0</v>
      </c>
      <c r="R993" s="715">
        <f t="shared" si="164"/>
        <v>0</v>
      </c>
      <c r="S993" s="715">
        <f t="shared" si="164"/>
        <v>0</v>
      </c>
      <c r="T993" s="715">
        <f t="shared" si="164"/>
        <v>0</v>
      </c>
      <c r="U993" s="715">
        <f t="shared" si="164"/>
        <v>0</v>
      </c>
      <c r="V993" s="715" t="e">
        <f t="shared" si="162"/>
        <v>#DIV/0!</v>
      </c>
      <c r="W993" s="644"/>
    </row>
    <row r="994" spans="1:23" ht="18.75" customHeight="1" thickTop="1" thickBot="1" x14ac:dyDescent="0.3">
      <c r="A994" s="451">
        <v>1</v>
      </c>
      <c r="B994" s="450" t="s">
        <v>1354</v>
      </c>
      <c r="C994" s="450" t="s">
        <v>1345</v>
      </c>
      <c r="D994" s="450"/>
      <c r="E994" s="451"/>
      <c r="F994" s="450"/>
      <c r="G994" s="450"/>
      <c r="H994" s="450"/>
      <c r="I994" s="450"/>
      <c r="J994" s="450"/>
      <c r="K994" s="647" t="s">
        <v>1370</v>
      </c>
      <c r="L994" s="712">
        <f>SUM(L995:L997)</f>
        <v>0</v>
      </c>
      <c r="M994" s="712">
        <f t="shared" ref="M994:U994" si="165">SUM(M995:M997)</f>
        <v>0</v>
      </c>
      <c r="N994" s="712">
        <f t="shared" si="165"/>
        <v>0</v>
      </c>
      <c r="O994" s="712">
        <f t="shared" si="161"/>
        <v>0</v>
      </c>
      <c r="P994" s="712">
        <f t="shared" si="165"/>
        <v>0</v>
      </c>
      <c r="Q994" s="712">
        <f t="shared" si="165"/>
        <v>0</v>
      </c>
      <c r="R994" s="712">
        <f t="shared" si="165"/>
        <v>0</v>
      </c>
      <c r="S994" s="712">
        <f t="shared" si="165"/>
        <v>0</v>
      </c>
      <c r="T994" s="712">
        <f t="shared" si="165"/>
        <v>0</v>
      </c>
      <c r="U994" s="712">
        <f t="shared" si="165"/>
        <v>0</v>
      </c>
      <c r="V994" s="712" t="e">
        <f t="shared" si="162"/>
        <v>#DIV/0!</v>
      </c>
      <c r="W994" s="644"/>
    </row>
    <row r="995" spans="1:23" ht="18.75" customHeight="1" thickTop="1" thickBot="1" x14ac:dyDescent="0.3">
      <c r="A995" s="451">
        <v>1</v>
      </c>
      <c r="B995" s="450" t="s">
        <v>1354</v>
      </c>
      <c r="C995" s="450" t="s">
        <v>1345</v>
      </c>
      <c r="D995" s="450" t="s">
        <v>1345</v>
      </c>
      <c r="E995" s="450"/>
      <c r="F995" s="450"/>
      <c r="G995" s="450"/>
      <c r="H995" s="450"/>
      <c r="I995" s="450"/>
      <c r="J995" s="450"/>
      <c r="K995" s="647" t="s">
        <v>1371</v>
      </c>
      <c r="L995" s="712"/>
      <c r="M995" s="712"/>
      <c r="N995" s="712"/>
      <c r="O995" s="712">
        <f t="shared" si="161"/>
        <v>0</v>
      </c>
      <c r="P995" s="712"/>
      <c r="Q995" s="712"/>
      <c r="R995" s="712"/>
      <c r="S995" s="712"/>
      <c r="T995" s="712"/>
      <c r="U995" s="712"/>
      <c r="V995" s="712" t="e">
        <f t="shared" si="162"/>
        <v>#DIV/0!</v>
      </c>
      <c r="W995" s="644"/>
    </row>
    <row r="996" spans="1:23" ht="18.75" customHeight="1" thickTop="1" thickBot="1" x14ac:dyDescent="0.3">
      <c r="A996" s="451">
        <v>1</v>
      </c>
      <c r="B996" s="450" t="s">
        <v>1354</v>
      </c>
      <c r="C996" s="450" t="s">
        <v>1345</v>
      </c>
      <c r="D996" s="450" t="s">
        <v>1350</v>
      </c>
      <c r="E996" s="450"/>
      <c r="F996" s="450"/>
      <c r="G996" s="450"/>
      <c r="H996" s="450"/>
      <c r="I996" s="450"/>
      <c r="J996" s="450"/>
      <c r="K996" s="647" t="s">
        <v>1372</v>
      </c>
      <c r="L996" s="712"/>
      <c r="M996" s="712"/>
      <c r="N996" s="712"/>
      <c r="O996" s="712">
        <f t="shared" si="161"/>
        <v>0</v>
      </c>
      <c r="P996" s="712"/>
      <c r="Q996" s="712"/>
      <c r="R996" s="712"/>
      <c r="S996" s="712"/>
      <c r="T996" s="712"/>
      <c r="U996" s="712"/>
      <c r="V996" s="712" t="e">
        <f t="shared" si="162"/>
        <v>#DIV/0!</v>
      </c>
      <c r="W996" s="644"/>
    </row>
    <row r="997" spans="1:23" ht="18.75" customHeight="1" thickTop="1" thickBot="1" x14ac:dyDescent="0.3">
      <c r="A997" s="451">
        <v>1</v>
      </c>
      <c r="B997" s="450" t="s">
        <v>1354</v>
      </c>
      <c r="C997" s="450" t="s">
        <v>1345</v>
      </c>
      <c r="D997" s="450" t="s">
        <v>1354</v>
      </c>
      <c r="E997" s="450"/>
      <c r="F997" s="450"/>
      <c r="G997" s="450"/>
      <c r="H997" s="450"/>
      <c r="I997" s="450"/>
      <c r="J997" s="450"/>
      <c r="K997" s="647" t="s">
        <v>1373</v>
      </c>
      <c r="L997" s="712"/>
      <c r="M997" s="712"/>
      <c r="N997" s="712"/>
      <c r="O997" s="712">
        <f t="shared" si="161"/>
        <v>0</v>
      </c>
      <c r="P997" s="712"/>
      <c r="Q997" s="712"/>
      <c r="R997" s="712"/>
      <c r="S997" s="712"/>
      <c r="T997" s="712"/>
      <c r="U997" s="712"/>
      <c r="V997" s="712" t="e">
        <f t="shared" si="162"/>
        <v>#DIV/0!</v>
      </c>
      <c r="W997" s="644"/>
    </row>
    <row r="998" spans="1:23" ht="18.75" customHeight="1" thickTop="1" thickBot="1" x14ac:dyDescent="0.3">
      <c r="A998" s="451">
        <v>1</v>
      </c>
      <c r="B998" s="450" t="s">
        <v>1354</v>
      </c>
      <c r="C998" s="450" t="s">
        <v>1350</v>
      </c>
      <c r="D998" s="450"/>
      <c r="E998" s="451"/>
      <c r="F998" s="450"/>
      <c r="G998" s="450"/>
      <c r="H998" s="450"/>
      <c r="I998" s="450"/>
      <c r="J998" s="450"/>
      <c r="K998" s="647" t="s">
        <v>1374</v>
      </c>
      <c r="L998" s="712"/>
      <c r="M998" s="712"/>
      <c r="N998" s="712"/>
      <c r="O998" s="712">
        <f t="shared" si="161"/>
        <v>0</v>
      </c>
      <c r="P998" s="712"/>
      <c r="Q998" s="712"/>
      <c r="R998" s="712"/>
      <c r="S998" s="712"/>
      <c r="T998" s="712"/>
      <c r="U998" s="712"/>
      <c r="V998" s="712" t="e">
        <f t="shared" si="162"/>
        <v>#DIV/0!</v>
      </c>
      <c r="W998" s="644"/>
    </row>
    <row r="999" spans="1:23" ht="36" customHeight="1" thickTop="1" thickBot="1" x14ac:dyDescent="0.3">
      <c r="A999" s="446">
        <v>1</v>
      </c>
      <c r="B999" s="446" t="s">
        <v>1355</v>
      </c>
      <c r="C999" s="446"/>
      <c r="D999" s="446"/>
      <c r="E999" s="446"/>
      <c r="F999" s="446"/>
      <c r="G999" s="446"/>
      <c r="H999" s="446"/>
      <c r="I999" s="713"/>
      <c r="J999" s="713"/>
      <c r="K999" s="714" t="s">
        <v>1375</v>
      </c>
      <c r="L999" s="715"/>
      <c r="M999" s="715"/>
      <c r="N999" s="715"/>
      <c r="O999" s="715">
        <f t="shared" si="161"/>
        <v>0</v>
      </c>
      <c r="P999" s="715"/>
      <c r="Q999" s="715"/>
      <c r="R999" s="715"/>
      <c r="S999" s="715"/>
      <c r="T999" s="715"/>
      <c r="U999" s="715"/>
      <c r="V999" s="715" t="e">
        <f t="shared" si="162"/>
        <v>#DIV/0!</v>
      </c>
      <c r="W999" s="644"/>
    </row>
    <row r="1000" spans="1:23" ht="36" customHeight="1" thickTop="1" thickBot="1" x14ac:dyDescent="0.3">
      <c r="A1000" s="446" t="s">
        <v>1343</v>
      </c>
      <c r="B1000" s="446" t="s">
        <v>1358</v>
      </c>
      <c r="C1000" s="446"/>
      <c r="D1000" s="446"/>
      <c r="E1000" s="446"/>
      <c r="F1000" s="446"/>
      <c r="G1000" s="446"/>
      <c r="H1000" s="446"/>
      <c r="I1000" s="713"/>
      <c r="J1000" s="713"/>
      <c r="K1000" s="714" t="s">
        <v>1376</v>
      </c>
      <c r="L1000" s="715">
        <f>+L1001+L1005+L1006</f>
        <v>0</v>
      </c>
      <c r="M1000" s="715">
        <f t="shared" ref="M1000:U1000" si="166">+M1001+M1005+M1006</f>
        <v>0</v>
      </c>
      <c r="N1000" s="715">
        <f t="shared" si="166"/>
        <v>0</v>
      </c>
      <c r="O1000" s="715">
        <f t="shared" si="161"/>
        <v>0</v>
      </c>
      <c r="P1000" s="715">
        <f t="shared" si="166"/>
        <v>0</v>
      </c>
      <c r="Q1000" s="715">
        <f t="shared" si="166"/>
        <v>0</v>
      </c>
      <c r="R1000" s="715">
        <f t="shared" si="166"/>
        <v>0</v>
      </c>
      <c r="S1000" s="715">
        <f t="shared" si="166"/>
        <v>0</v>
      </c>
      <c r="T1000" s="715">
        <f t="shared" si="166"/>
        <v>0</v>
      </c>
      <c r="U1000" s="715">
        <f t="shared" si="166"/>
        <v>0</v>
      </c>
      <c r="V1000" s="715" t="e">
        <f t="shared" si="162"/>
        <v>#DIV/0!</v>
      </c>
      <c r="W1000" s="644"/>
    </row>
    <row r="1001" spans="1:23" ht="18.75" customHeight="1" thickTop="1" thickBot="1" x14ac:dyDescent="0.3">
      <c r="A1001" s="451" t="s">
        <v>1343</v>
      </c>
      <c r="B1001" s="450" t="s">
        <v>1358</v>
      </c>
      <c r="C1001" s="450" t="s">
        <v>1345</v>
      </c>
      <c r="D1001" s="450"/>
      <c r="E1001" s="451"/>
      <c r="F1001" s="450"/>
      <c r="G1001" s="450"/>
      <c r="H1001" s="450"/>
      <c r="I1001" s="450"/>
      <c r="J1001" s="450"/>
      <c r="K1001" s="689" t="s">
        <v>1377</v>
      </c>
      <c r="L1001" s="712">
        <f>SUM(L1002:L1004)</f>
        <v>0</v>
      </c>
      <c r="M1001" s="712">
        <f t="shared" ref="M1001:U1001" si="167">SUM(M1002:M1004)</f>
        <v>0</v>
      </c>
      <c r="N1001" s="712">
        <f t="shared" si="167"/>
        <v>0</v>
      </c>
      <c r="O1001" s="712">
        <f t="shared" si="161"/>
        <v>0</v>
      </c>
      <c r="P1001" s="712">
        <f t="shared" si="167"/>
        <v>0</v>
      </c>
      <c r="Q1001" s="712">
        <f t="shared" si="167"/>
        <v>0</v>
      </c>
      <c r="R1001" s="712">
        <f t="shared" si="167"/>
        <v>0</v>
      </c>
      <c r="S1001" s="712">
        <f t="shared" si="167"/>
        <v>0</v>
      </c>
      <c r="T1001" s="712">
        <f t="shared" si="167"/>
        <v>0</v>
      </c>
      <c r="U1001" s="712">
        <f t="shared" si="167"/>
        <v>0</v>
      </c>
      <c r="V1001" s="712" t="e">
        <f t="shared" si="162"/>
        <v>#DIV/0!</v>
      </c>
      <c r="W1001" s="644"/>
    </row>
    <row r="1002" spans="1:23" ht="18.75" customHeight="1" thickTop="1" thickBot="1" x14ac:dyDescent="0.3">
      <c r="A1002" s="451" t="s">
        <v>1343</v>
      </c>
      <c r="B1002" s="450" t="s">
        <v>1358</v>
      </c>
      <c r="C1002" s="450" t="s">
        <v>1345</v>
      </c>
      <c r="D1002" s="450" t="s">
        <v>1345</v>
      </c>
      <c r="E1002" s="450"/>
      <c r="F1002" s="450"/>
      <c r="G1002" s="450"/>
      <c r="H1002" s="450"/>
      <c r="I1002" s="450"/>
      <c r="J1002" s="450"/>
      <c r="K1002" s="647" t="s">
        <v>1894</v>
      </c>
      <c r="L1002" s="712"/>
      <c r="M1002" s="712"/>
      <c r="N1002" s="712"/>
      <c r="O1002" s="712">
        <f t="shared" si="161"/>
        <v>0</v>
      </c>
      <c r="P1002" s="712"/>
      <c r="Q1002" s="712"/>
      <c r="R1002" s="712"/>
      <c r="S1002" s="712"/>
      <c r="T1002" s="712"/>
      <c r="U1002" s="712"/>
      <c r="V1002" s="712" t="e">
        <f t="shared" si="162"/>
        <v>#DIV/0!</v>
      </c>
      <c r="W1002" s="644"/>
    </row>
    <row r="1003" spans="1:23" ht="18.75" customHeight="1" thickTop="1" thickBot="1" x14ac:dyDescent="0.3">
      <c r="A1003" s="451" t="s">
        <v>1343</v>
      </c>
      <c r="B1003" s="450" t="s">
        <v>1358</v>
      </c>
      <c r="C1003" s="450" t="s">
        <v>1345</v>
      </c>
      <c r="D1003" s="450" t="s">
        <v>1350</v>
      </c>
      <c r="E1003" s="450"/>
      <c r="F1003" s="450"/>
      <c r="G1003" s="450"/>
      <c r="H1003" s="450"/>
      <c r="I1003" s="450"/>
      <c r="J1003" s="450"/>
      <c r="K1003" s="647" t="s">
        <v>1895</v>
      </c>
      <c r="L1003" s="712"/>
      <c r="M1003" s="712"/>
      <c r="N1003" s="712"/>
      <c r="O1003" s="712">
        <f t="shared" si="161"/>
        <v>0</v>
      </c>
      <c r="P1003" s="712"/>
      <c r="Q1003" s="712"/>
      <c r="R1003" s="712"/>
      <c r="S1003" s="712"/>
      <c r="T1003" s="712"/>
      <c r="U1003" s="712"/>
      <c r="V1003" s="712" t="e">
        <f t="shared" si="162"/>
        <v>#DIV/0!</v>
      </c>
      <c r="W1003" s="644"/>
    </row>
    <row r="1004" spans="1:23" ht="18.75" customHeight="1" thickTop="1" thickBot="1" x14ac:dyDescent="0.3">
      <c r="A1004" s="451" t="s">
        <v>1343</v>
      </c>
      <c r="B1004" s="450" t="s">
        <v>1358</v>
      </c>
      <c r="C1004" s="450" t="s">
        <v>1345</v>
      </c>
      <c r="D1004" s="450" t="s">
        <v>1354</v>
      </c>
      <c r="E1004" s="450"/>
      <c r="F1004" s="450"/>
      <c r="G1004" s="450"/>
      <c r="H1004" s="450"/>
      <c r="I1004" s="450"/>
      <c r="J1004" s="450"/>
      <c r="K1004" s="647" t="s">
        <v>1896</v>
      </c>
      <c r="L1004" s="712"/>
      <c r="M1004" s="712"/>
      <c r="N1004" s="712"/>
      <c r="O1004" s="712">
        <f t="shared" si="161"/>
        <v>0</v>
      </c>
      <c r="P1004" s="712"/>
      <c r="Q1004" s="712"/>
      <c r="R1004" s="712"/>
      <c r="S1004" s="712"/>
      <c r="T1004" s="712"/>
      <c r="U1004" s="712"/>
      <c r="V1004" s="712" t="e">
        <f t="shared" si="162"/>
        <v>#DIV/0!</v>
      </c>
      <c r="W1004" s="644"/>
    </row>
    <row r="1005" spans="1:23" ht="18.75" customHeight="1" thickTop="1" thickBot="1" x14ac:dyDescent="0.3">
      <c r="A1005" s="451" t="s">
        <v>1343</v>
      </c>
      <c r="B1005" s="450" t="s">
        <v>1358</v>
      </c>
      <c r="C1005" s="450" t="s">
        <v>1350</v>
      </c>
      <c r="D1005" s="450"/>
      <c r="E1005" s="451"/>
      <c r="F1005" s="450"/>
      <c r="G1005" s="450"/>
      <c r="H1005" s="450"/>
      <c r="I1005" s="450"/>
      <c r="J1005" s="450"/>
      <c r="K1005" s="689" t="s">
        <v>1378</v>
      </c>
      <c r="L1005" s="712"/>
      <c r="M1005" s="712"/>
      <c r="N1005" s="712"/>
      <c r="O1005" s="712">
        <f t="shared" si="161"/>
        <v>0</v>
      </c>
      <c r="P1005" s="712"/>
      <c r="Q1005" s="712"/>
      <c r="R1005" s="712"/>
      <c r="S1005" s="712"/>
      <c r="T1005" s="712"/>
      <c r="U1005" s="712"/>
      <c r="V1005" s="712" t="e">
        <f t="shared" si="162"/>
        <v>#DIV/0!</v>
      </c>
      <c r="W1005" s="644"/>
    </row>
    <row r="1006" spans="1:23" ht="18.75" customHeight="1" thickTop="1" thickBot="1" x14ac:dyDescent="0.3">
      <c r="A1006" s="451" t="s">
        <v>1343</v>
      </c>
      <c r="B1006" s="450" t="s">
        <v>1358</v>
      </c>
      <c r="C1006" s="450" t="s">
        <v>1354</v>
      </c>
      <c r="D1006" s="450"/>
      <c r="E1006" s="451"/>
      <c r="F1006" s="450"/>
      <c r="G1006" s="450"/>
      <c r="H1006" s="450"/>
      <c r="I1006" s="450"/>
      <c r="J1006" s="450"/>
      <c r="K1006" s="689" t="s">
        <v>1379</v>
      </c>
      <c r="L1006" s="712"/>
      <c r="M1006" s="712"/>
      <c r="N1006" s="712"/>
      <c r="O1006" s="712">
        <f t="shared" si="161"/>
        <v>0</v>
      </c>
      <c r="P1006" s="712"/>
      <c r="Q1006" s="712"/>
      <c r="R1006" s="712"/>
      <c r="S1006" s="712"/>
      <c r="T1006" s="712"/>
      <c r="U1006" s="712"/>
      <c r="V1006" s="712" t="e">
        <f t="shared" si="162"/>
        <v>#DIV/0!</v>
      </c>
      <c r="W1006" s="644"/>
    </row>
    <row r="1007" spans="1:23" ht="36" customHeight="1" thickTop="1" x14ac:dyDescent="0.25"/>
  </sheetData>
  <autoFilter ref="A6:BZ532">
    <filterColumn colId="14">
      <filters>
        <filter val="1.500.000,00"/>
        <filter val="1.740.075.678,00"/>
        <filter val="1.963.813.332,00"/>
        <filter val="106.676.672.191,00"/>
        <filter val="12.598.400,00"/>
        <filter val="13.902.435,00"/>
        <filter val="13.913.780.326,00"/>
        <filter val="18.800.000,00"/>
        <filter val="190.632.852.048,00"/>
        <filter val="2.642.665.033,00"/>
        <filter val="2.891.493.633,00"/>
        <filter val="20.550.969,00"/>
        <filter val="22.897.665,00"/>
        <filter val="24.696.886.022,00"/>
        <filter val="25.973.729.181,00"/>
        <filter val="26.660.699.354,00"/>
        <filter val="26.683.597.019,00"/>
        <filter val="27.995.885,00"/>
        <filter val="3.188.842.192,00"/>
        <filter val="30.006,00"/>
        <filter val="32.157.524,00"/>
        <filter val="34.453.404,00"/>
        <filter val="34.697.156.335,00"/>
        <filter val="4.397.451.032,00"/>
        <filter val="4.806.900.000,00"/>
        <filter val="4.891.300.000,00"/>
        <filter val="4.898.571.340,00"/>
        <filter val="40.009.730,00"/>
        <filter val="44.606.000.000,00"/>
        <filter val="45.295.918.837,00"/>
        <filter val="47.346.000,00"/>
        <filter val="5.030.458.568,00"/>
        <filter val="5.283.100.588,00"/>
        <filter val="5.994.863.979,00"/>
        <filter val="52.608.130,00"/>
        <filter val="54.219.081,00"/>
        <filter val="595.498.071,00"/>
        <filter val="6.080.335.825,00"/>
        <filter val="61.380.753.354,00"/>
        <filter val="621.763.391,00"/>
        <filter val="633.007.536,00"/>
        <filter val="65.600.000,00"/>
        <filter val="7.169.687,00"/>
        <filter val="7.271.340,00"/>
        <filter val="711.763.391,00"/>
        <filter val="79.057.608.517,00"/>
        <filter val="806.257,00"/>
        <filter val="844.468,00"/>
        <filter val="85.898.142,00"/>
        <filter val="860.592.928,00"/>
        <filter val="9.750.000,00"/>
        <filter val="90.000.000,00"/>
        <filter val="902.589.355,00"/>
        <filter val="94.420.766,00"/>
      </filters>
    </filterColumn>
  </autoFilter>
  <mergeCells count="14">
    <mergeCell ref="T5:T6"/>
    <mergeCell ref="U5:U6"/>
    <mergeCell ref="V5:V6"/>
    <mergeCell ref="W5:W6"/>
    <mergeCell ref="A1:V1"/>
    <mergeCell ref="A2:V2"/>
    <mergeCell ref="A3:V3"/>
    <mergeCell ref="A4:V4"/>
    <mergeCell ref="A5:I5"/>
    <mergeCell ref="K5:K6"/>
    <mergeCell ref="L5:L6"/>
    <mergeCell ref="M5:N5"/>
    <mergeCell ref="O5:O6"/>
    <mergeCell ref="P5:S5"/>
  </mergeCells>
  <printOptions horizontalCentered="1" verticalCentered="1"/>
  <pageMargins left="0.78740157480314965" right="0.78740157480314965" top="0.98425196850393704" bottom="0.98425196850393704" header="0" footer="0"/>
  <pageSetup paperSize="9" scale="1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204"/>
  <sheetViews>
    <sheetView zoomScaleNormal="100" zoomScaleSheetLayoutView="100" workbookViewId="0">
      <selection activeCell="H195" sqref="H195"/>
    </sheetView>
  </sheetViews>
  <sheetFormatPr baseColWidth="10" defaultColWidth="14.42578125" defaultRowHeight="15" x14ac:dyDescent="0.25"/>
  <cols>
    <col min="1" max="1" width="8.7109375" style="584" customWidth="1"/>
    <col min="2" max="2" width="7.7109375" style="584" customWidth="1"/>
    <col min="3" max="3" width="13" style="584" customWidth="1"/>
    <col min="4" max="4" width="7" style="584" customWidth="1"/>
    <col min="5" max="5" width="8.5703125" style="584" customWidth="1"/>
    <col min="6" max="6" width="7.7109375" style="584" customWidth="1"/>
    <col min="7" max="7" width="8.28515625" style="584" customWidth="1"/>
    <col min="8" max="8" width="36" style="584" customWidth="1"/>
    <col min="9" max="9" width="20.28515625" style="718" customWidth="1"/>
    <col min="10" max="28" width="20.28515625" style="584" customWidth="1"/>
    <col min="29" max="29" width="51.42578125" style="584" customWidth="1"/>
    <col min="30" max="30" width="18.85546875" style="584" bestFit="1" customWidth="1"/>
    <col min="31" max="256" width="14.42578125" style="584"/>
    <col min="257" max="257" width="8.7109375" style="584" customWidth="1"/>
    <col min="258" max="258" width="7.7109375" style="584" customWidth="1"/>
    <col min="259" max="259" width="10.140625" style="584" customWidth="1"/>
    <col min="260" max="260" width="7" style="584" customWidth="1"/>
    <col min="261" max="261" width="8.5703125" style="584" customWidth="1"/>
    <col min="262" max="262" width="7.7109375" style="584" customWidth="1"/>
    <col min="263" max="263" width="8.28515625" style="584" customWidth="1"/>
    <col min="264" max="264" width="36" style="584" customWidth="1"/>
    <col min="265" max="284" width="20.28515625" style="584" customWidth="1"/>
    <col min="285" max="285" width="51.42578125" style="584" customWidth="1"/>
    <col min="286" max="286" width="18.85546875" style="584" bestFit="1" customWidth="1"/>
    <col min="287" max="512" width="14.42578125" style="584"/>
    <col min="513" max="513" width="8.7109375" style="584" customWidth="1"/>
    <col min="514" max="514" width="7.7109375" style="584" customWidth="1"/>
    <col min="515" max="515" width="10.140625" style="584" customWidth="1"/>
    <col min="516" max="516" width="7" style="584" customWidth="1"/>
    <col min="517" max="517" width="8.5703125" style="584" customWidth="1"/>
    <col min="518" max="518" width="7.7109375" style="584" customWidth="1"/>
    <col min="519" max="519" width="8.28515625" style="584" customWidth="1"/>
    <col min="520" max="520" width="36" style="584" customWidth="1"/>
    <col min="521" max="540" width="20.28515625" style="584" customWidth="1"/>
    <col min="541" max="541" width="51.42578125" style="584" customWidth="1"/>
    <col min="542" max="542" width="18.85546875" style="584" bestFit="1" customWidth="1"/>
    <col min="543" max="768" width="14.42578125" style="584"/>
    <col min="769" max="769" width="8.7109375" style="584" customWidth="1"/>
    <col min="770" max="770" width="7.7109375" style="584" customWidth="1"/>
    <col min="771" max="771" width="10.140625" style="584" customWidth="1"/>
    <col min="772" max="772" width="7" style="584" customWidth="1"/>
    <col min="773" max="773" width="8.5703125" style="584" customWidth="1"/>
    <col min="774" max="774" width="7.7109375" style="584" customWidth="1"/>
    <col min="775" max="775" width="8.28515625" style="584" customWidth="1"/>
    <col min="776" max="776" width="36" style="584" customWidth="1"/>
    <col min="777" max="796" width="20.28515625" style="584" customWidth="1"/>
    <col min="797" max="797" width="51.42578125" style="584" customWidth="1"/>
    <col min="798" max="798" width="18.85546875" style="584" bestFit="1" customWidth="1"/>
    <col min="799" max="1024" width="14.42578125" style="584"/>
    <col min="1025" max="1025" width="8.7109375" style="584" customWidth="1"/>
    <col min="1026" max="1026" width="7.7109375" style="584" customWidth="1"/>
    <col min="1027" max="1027" width="10.140625" style="584" customWidth="1"/>
    <col min="1028" max="1028" width="7" style="584" customWidth="1"/>
    <col min="1029" max="1029" width="8.5703125" style="584" customWidth="1"/>
    <col min="1030" max="1030" width="7.7109375" style="584" customWidth="1"/>
    <col min="1031" max="1031" width="8.28515625" style="584" customWidth="1"/>
    <col min="1032" max="1032" width="36" style="584" customWidth="1"/>
    <col min="1033" max="1052" width="20.28515625" style="584" customWidth="1"/>
    <col min="1053" max="1053" width="51.42578125" style="584" customWidth="1"/>
    <col min="1054" max="1054" width="18.85546875" style="584" bestFit="1" customWidth="1"/>
    <col min="1055" max="1280" width="14.42578125" style="584"/>
    <col min="1281" max="1281" width="8.7109375" style="584" customWidth="1"/>
    <col min="1282" max="1282" width="7.7109375" style="584" customWidth="1"/>
    <col min="1283" max="1283" width="10.140625" style="584" customWidth="1"/>
    <col min="1284" max="1284" width="7" style="584" customWidth="1"/>
    <col min="1285" max="1285" width="8.5703125" style="584" customWidth="1"/>
    <col min="1286" max="1286" width="7.7109375" style="584" customWidth="1"/>
    <col min="1287" max="1287" width="8.28515625" style="584" customWidth="1"/>
    <col min="1288" max="1288" width="36" style="584" customWidth="1"/>
    <col min="1289" max="1308" width="20.28515625" style="584" customWidth="1"/>
    <col min="1309" max="1309" width="51.42578125" style="584" customWidth="1"/>
    <col min="1310" max="1310" width="18.85546875" style="584" bestFit="1" customWidth="1"/>
    <col min="1311" max="1536" width="14.42578125" style="584"/>
    <col min="1537" max="1537" width="8.7109375" style="584" customWidth="1"/>
    <col min="1538" max="1538" width="7.7109375" style="584" customWidth="1"/>
    <col min="1539" max="1539" width="10.140625" style="584" customWidth="1"/>
    <col min="1540" max="1540" width="7" style="584" customWidth="1"/>
    <col min="1541" max="1541" width="8.5703125" style="584" customWidth="1"/>
    <col min="1542" max="1542" width="7.7109375" style="584" customWidth="1"/>
    <col min="1543" max="1543" width="8.28515625" style="584" customWidth="1"/>
    <col min="1544" max="1544" width="36" style="584" customWidth="1"/>
    <col min="1545" max="1564" width="20.28515625" style="584" customWidth="1"/>
    <col min="1565" max="1565" width="51.42578125" style="584" customWidth="1"/>
    <col min="1566" max="1566" width="18.85546875" style="584" bestFit="1" customWidth="1"/>
    <col min="1567" max="1792" width="14.42578125" style="584"/>
    <col min="1793" max="1793" width="8.7109375" style="584" customWidth="1"/>
    <col min="1794" max="1794" width="7.7109375" style="584" customWidth="1"/>
    <col min="1795" max="1795" width="10.140625" style="584" customWidth="1"/>
    <col min="1796" max="1796" width="7" style="584" customWidth="1"/>
    <col min="1797" max="1797" width="8.5703125" style="584" customWidth="1"/>
    <col min="1798" max="1798" width="7.7109375" style="584" customWidth="1"/>
    <col min="1799" max="1799" width="8.28515625" style="584" customWidth="1"/>
    <col min="1800" max="1800" width="36" style="584" customWidth="1"/>
    <col min="1801" max="1820" width="20.28515625" style="584" customWidth="1"/>
    <col min="1821" max="1821" width="51.42578125" style="584" customWidth="1"/>
    <col min="1822" max="1822" width="18.85546875" style="584" bestFit="1" customWidth="1"/>
    <col min="1823" max="2048" width="14.42578125" style="584"/>
    <col min="2049" max="2049" width="8.7109375" style="584" customWidth="1"/>
    <col min="2050" max="2050" width="7.7109375" style="584" customWidth="1"/>
    <col min="2051" max="2051" width="10.140625" style="584" customWidth="1"/>
    <col min="2052" max="2052" width="7" style="584" customWidth="1"/>
    <col min="2053" max="2053" width="8.5703125" style="584" customWidth="1"/>
    <col min="2054" max="2054" width="7.7109375" style="584" customWidth="1"/>
    <col min="2055" max="2055" width="8.28515625" style="584" customWidth="1"/>
    <col min="2056" max="2056" width="36" style="584" customWidth="1"/>
    <col min="2057" max="2076" width="20.28515625" style="584" customWidth="1"/>
    <col min="2077" max="2077" width="51.42578125" style="584" customWidth="1"/>
    <col min="2078" max="2078" width="18.85546875" style="584" bestFit="1" customWidth="1"/>
    <col min="2079" max="2304" width="14.42578125" style="584"/>
    <col min="2305" max="2305" width="8.7109375" style="584" customWidth="1"/>
    <col min="2306" max="2306" width="7.7109375" style="584" customWidth="1"/>
    <col min="2307" max="2307" width="10.140625" style="584" customWidth="1"/>
    <col min="2308" max="2308" width="7" style="584" customWidth="1"/>
    <col min="2309" max="2309" width="8.5703125" style="584" customWidth="1"/>
    <col min="2310" max="2310" width="7.7109375" style="584" customWidth="1"/>
    <col min="2311" max="2311" width="8.28515625" style="584" customWidth="1"/>
    <col min="2312" max="2312" width="36" style="584" customWidth="1"/>
    <col min="2313" max="2332" width="20.28515625" style="584" customWidth="1"/>
    <col min="2333" max="2333" width="51.42578125" style="584" customWidth="1"/>
    <col min="2334" max="2334" width="18.85546875" style="584" bestFit="1" customWidth="1"/>
    <col min="2335" max="2560" width="14.42578125" style="584"/>
    <col min="2561" max="2561" width="8.7109375" style="584" customWidth="1"/>
    <col min="2562" max="2562" width="7.7109375" style="584" customWidth="1"/>
    <col min="2563" max="2563" width="10.140625" style="584" customWidth="1"/>
    <col min="2564" max="2564" width="7" style="584" customWidth="1"/>
    <col min="2565" max="2565" width="8.5703125" style="584" customWidth="1"/>
    <col min="2566" max="2566" width="7.7109375" style="584" customWidth="1"/>
    <col min="2567" max="2567" width="8.28515625" style="584" customWidth="1"/>
    <col min="2568" max="2568" width="36" style="584" customWidth="1"/>
    <col min="2569" max="2588" width="20.28515625" style="584" customWidth="1"/>
    <col min="2589" max="2589" width="51.42578125" style="584" customWidth="1"/>
    <col min="2590" max="2590" width="18.85546875" style="584" bestFit="1" customWidth="1"/>
    <col min="2591" max="2816" width="14.42578125" style="584"/>
    <col min="2817" max="2817" width="8.7109375" style="584" customWidth="1"/>
    <col min="2818" max="2818" width="7.7109375" style="584" customWidth="1"/>
    <col min="2819" max="2819" width="10.140625" style="584" customWidth="1"/>
    <col min="2820" max="2820" width="7" style="584" customWidth="1"/>
    <col min="2821" max="2821" width="8.5703125" style="584" customWidth="1"/>
    <col min="2822" max="2822" width="7.7109375" style="584" customWidth="1"/>
    <col min="2823" max="2823" width="8.28515625" style="584" customWidth="1"/>
    <col min="2824" max="2824" width="36" style="584" customWidth="1"/>
    <col min="2825" max="2844" width="20.28515625" style="584" customWidth="1"/>
    <col min="2845" max="2845" width="51.42578125" style="584" customWidth="1"/>
    <col min="2846" max="2846" width="18.85546875" style="584" bestFit="1" customWidth="1"/>
    <col min="2847" max="3072" width="14.42578125" style="584"/>
    <col min="3073" max="3073" width="8.7109375" style="584" customWidth="1"/>
    <col min="3074" max="3074" width="7.7109375" style="584" customWidth="1"/>
    <col min="3075" max="3075" width="10.140625" style="584" customWidth="1"/>
    <col min="3076" max="3076" width="7" style="584" customWidth="1"/>
    <col min="3077" max="3077" width="8.5703125" style="584" customWidth="1"/>
    <col min="3078" max="3078" width="7.7109375" style="584" customWidth="1"/>
    <col min="3079" max="3079" width="8.28515625" style="584" customWidth="1"/>
    <col min="3080" max="3080" width="36" style="584" customWidth="1"/>
    <col min="3081" max="3100" width="20.28515625" style="584" customWidth="1"/>
    <col min="3101" max="3101" width="51.42578125" style="584" customWidth="1"/>
    <col min="3102" max="3102" width="18.85546875" style="584" bestFit="1" customWidth="1"/>
    <col min="3103" max="3328" width="14.42578125" style="584"/>
    <col min="3329" max="3329" width="8.7109375" style="584" customWidth="1"/>
    <col min="3330" max="3330" width="7.7109375" style="584" customWidth="1"/>
    <col min="3331" max="3331" width="10.140625" style="584" customWidth="1"/>
    <col min="3332" max="3332" width="7" style="584" customWidth="1"/>
    <col min="3333" max="3333" width="8.5703125" style="584" customWidth="1"/>
    <col min="3334" max="3334" width="7.7109375" style="584" customWidth="1"/>
    <col min="3335" max="3335" width="8.28515625" style="584" customWidth="1"/>
    <col min="3336" max="3336" width="36" style="584" customWidth="1"/>
    <col min="3337" max="3356" width="20.28515625" style="584" customWidth="1"/>
    <col min="3357" max="3357" width="51.42578125" style="584" customWidth="1"/>
    <col min="3358" max="3358" width="18.85546875" style="584" bestFit="1" customWidth="1"/>
    <col min="3359" max="3584" width="14.42578125" style="584"/>
    <col min="3585" max="3585" width="8.7109375" style="584" customWidth="1"/>
    <col min="3586" max="3586" width="7.7109375" style="584" customWidth="1"/>
    <col min="3587" max="3587" width="10.140625" style="584" customWidth="1"/>
    <col min="3588" max="3588" width="7" style="584" customWidth="1"/>
    <col min="3589" max="3589" width="8.5703125" style="584" customWidth="1"/>
    <col min="3590" max="3590" width="7.7109375" style="584" customWidth="1"/>
    <col min="3591" max="3591" width="8.28515625" style="584" customWidth="1"/>
    <col min="3592" max="3592" width="36" style="584" customWidth="1"/>
    <col min="3593" max="3612" width="20.28515625" style="584" customWidth="1"/>
    <col min="3613" max="3613" width="51.42578125" style="584" customWidth="1"/>
    <col min="3614" max="3614" width="18.85546875" style="584" bestFit="1" customWidth="1"/>
    <col min="3615" max="3840" width="14.42578125" style="584"/>
    <col min="3841" max="3841" width="8.7109375" style="584" customWidth="1"/>
    <col min="3842" max="3842" width="7.7109375" style="584" customWidth="1"/>
    <col min="3843" max="3843" width="10.140625" style="584" customWidth="1"/>
    <col min="3844" max="3844" width="7" style="584" customWidth="1"/>
    <col min="3845" max="3845" width="8.5703125" style="584" customWidth="1"/>
    <col min="3846" max="3846" width="7.7109375" style="584" customWidth="1"/>
    <col min="3847" max="3847" width="8.28515625" style="584" customWidth="1"/>
    <col min="3848" max="3848" width="36" style="584" customWidth="1"/>
    <col min="3849" max="3868" width="20.28515625" style="584" customWidth="1"/>
    <col min="3869" max="3869" width="51.42578125" style="584" customWidth="1"/>
    <col min="3870" max="3870" width="18.85546875" style="584" bestFit="1" customWidth="1"/>
    <col min="3871" max="4096" width="14.42578125" style="584"/>
    <col min="4097" max="4097" width="8.7109375" style="584" customWidth="1"/>
    <col min="4098" max="4098" width="7.7109375" style="584" customWidth="1"/>
    <col min="4099" max="4099" width="10.140625" style="584" customWidth="1"/>
    <col min="4100" max="4100" width="7" style="584" customWidth="1"/>
    <col min="4101" max="4101" width="8.5703125" style="584" customWidth="1"/>
    <col min="4102" max="4102" width="7.7109375" style="584" customWidth="1"/>
    <col min="4103" max="4103" width="8.28515625" style="584" customWidth="1"/>
    <col min="4104" max="4104" width="36" style="584" customWidth="1"/>
    <col min="4105" max="4124" width="20.28515625" style="584" customWidth="1"/>
    <col min="4125" max="4125" width="51.42578125" style="584" customWidth="1"/>
    <col min="4126" max="4126" width="18.85546875" style="584" bestFit="1" customWidth="1"/>
    <col min="4127" max="4352" width="14.42578125" style="584"/>
    <col min="4353" max="4353" width="8.7109375" style="584" customWidth="1"/>
    <col min="4354" max="4354" width="7.7109375" style="584" customWidth="1"/>
    <col min="4355" max="4355" width="10.140625" style="584" customWidth="1"/>
    <col min="4356" max="4356" width="7" style="584" customWidth="1"/>
    <col min="4357" max="4357" width="8.5703125" style="584" customWidth="1"/>
    <col min="4358" max="4358" width="7.7109375" style="584" customWidth="1"/>
    <col min="4359" max="4359" width="8.28515625" style="584" customWidth="1"/>
    <col min="4360" max="4360" width="36" style="584" customWidth="1"/>
    <col min="4361" max="4380" width="20.28515625" style="584" customWidth="1"/>
    <col min="4381" max="4381" width="51.42578125" style="584" customWidth="1"/>
    <col min="4382" max="4382" width="18.85546875" style="584" bestFit="1" customWidth="1"/>
    <col min="4383" max="4608" width="14.42578125" style="584"/>
    <col min="4609" max="4609" width="8.7109375" style="584" customWidth="1"/>
    <col min="4610" max="4610" width="7.7109375" style="584" customWidth="1"/>
    <col min="4611" max="4611" width="10.140625" style="584" customWidth="1"/>
    <col min="4612" max="4612" width="7" style="584" customWidth="1"/>
    <col min="4613" max="4613" width="8.5703125" style="584" customWidth="1"/>
    <col min="4614" max="4614" width="7.7109375" style="584" customWidth="1"/>
    <col min="4615" max="4615" width="8.28515625" style="584" customWidth="1"/>
    <col min="4616" max="4616" width="36" style="584" customWidth="1"/>
    <col min="4617" max="4636" width="20.28515625" style="584" customWidth="1"/>
    <col min="4637" max="4637" width="51.42578125" style="584" customWidth="1"/>
    <col min="4638" max="4638" width="18.85546875" style="584" bestFit="1" customWidth="1"/>
    <col min="4639" max="4864" width="14.42578125" style="584"/>
    <col min="4865" max="4865" width="8.7109375" style="584" customWidth="1"/>
    <col min="4866" max="4866" width="7.7109375" style="584" customWidth="1"/>
    <col min="4867" max="4867" width="10.140625" style="584" customWidth="1"/>
    <col min="4868" max="4868" width="7" style="584" customWidth="1"/>
    <col min="4869" max="4869" width="8.5703125" style="584" customWidth="1"/>
    <col min="4870" max="4870" width="7.7109375" style="584" customWidth="1"/>
    <col min="4871" max="4871" width="8.28515625" style="584" customWidth="1"/>
    <col min="4872" max="4872" width="36" style="584" customWidth="1"/>
    <col min="4873" max="4892" width="20.28515625" style="584" customWidth="1"/>
    <col min="4893" max="4893" width="51.42578125" style="584" customWidth="1"/>
    <col min="4894" max="4894" width="18.85546875" style="584" bestFit="1" customWidth="1"/>
    <col min="4895" max="5120" width="14.42578125" style="584"/>
    <col min="5121" max="5121" width="8.7109375" style="584" customWidth="1"/>
    <col min="5122" max="5122" width="7.7109375" style="584" customWidth="1"/>
    <col min="5123" max="5123" width="10.140625" style="584" customWidth="1"/>
    <col min="5124" max="5124" width="7" style="584" customWidth="1"/>
    <col min="5125" max="5125" width="8.5703125" style="584" customWidth="1"/>
    <col min="5126" max="5126" width="7.7109375" style="584" customWidth="1"/>
    <col min="5127" max="5127" width="8.28515625" style="584" customWidth="1"/>
    <col min="5128" max="5128" width="36" style="584" customWidth="1"/>
    <col min="5129" max="5148" width="20.28515625" style="584" customWidth="1"/>
    <col min="5149" max="5149" width="51.42578125" style="584" customWidth="1"/>
    <col min="5150" max="5150" width="18.85546875" style="584" bestFit="1" customWidth="1"/>
    <col min="5151" max="5376" width="14.42578125" style="584"/>
    <col min="5377" max="5377" width="8.7109375" style="584" customWidth="1"/>
    <col min="5378" max="5378" width="7.7109375" style="584" customWidth="1"/>
    <col min="5379" max="5379" width="10.140625" style="584" customWidth="1"/>
    <col min="5380" max="5380" width="7" style="584" customWidth="1"/>
    <col min="5381" max="5381" width="8.5703125" style="584" customWidth="1"/>
    <col min="5382" max="5382" width="7.7109375" style="584" customWidth="1"/>
    <col min="5383" max="5383" width="8.28515625" style="584" customWidth="1"/>
    <col min="5384" max="5384" width="36" style="584" customWidth="1"/>
    <col min="5385" max="5404" width="20.28515625" style="584" customWidth="1"/>
    <col min="5405" max="5405" width="51.42578125" style="584" customWidth="1"/>
    <col min="5406" max="5406" width="18.85546875" style="584" bestFit="1" customWidth="1"/>
    <col min="5407" max="5632" width="14.42578125" style="584"/>
    <col min="5633" max="5633" width="8.7109375" style="584" customWidth="1"/>
    <col min="5634" max="5634" width="7.7109375" style="584" customWidth="1"/>
    <col min="5635" max="5635" width="10.140625" style="584" customWidth="1"/>
    <col min="5636" max="5636" width="7" style="584" customWidth="1"/>
    <col min="5637" max="5637" width="8.5703125" style="584" customWidth="1"/>
    <col min="5638" max="5638" width="7.7109375" style="584" customWidth="1"/>
    <col min="5639" max="5639" width="8.28515625" style="584" customWidth="1"/>
    <col min="5640" max="5640" width="36" style="584" customWidth="1"/>
    <col min="5641" max="5660" width="20.28515625" style="584" customWidth="1"/>
    <col min="5661" max="5661" width="51.42578125" style="584" customWidth="1"/>
    <col min="5662" max="5662" width="18.85546875" style="584" bestFit="1" customWidth="1"/>
    <col min="5663" max="5888" width="14.42578125" style="584"/>
    <col min="5889" max="5889" width="8.7109375" style="584" customWidth="1"/>
    <col min="5890" max="5890" width="7.7109375" style="584" customWidth="1"/>
    <col min="5891" max="5891" width="10.140625" style="584" customWidth="1"/>
    <col min="5892" max="5892" width="7" style="584" customWidth="1"/>
    <col min="5893" max="5893" width="8.5703125" style="584" customWidth="1"/>
    <col min="5894" max="5894" width="7.7109375" style="584" customWidth="1"/>
    <col min="5895" max="5895" width="8.28515625" style="584" customWidth="1"/>
    <col min="5896" max="5896" width="36" style="584" customWidth="1"/>
    <col min="5897" max="5916" width="20.28515625" style="584" customWidth="1"/>
    <col min="5917" max="5917" width="51.42578125" style="584" customWidth="1"/>
    <col min="5918" max="5918" width="18.85546875" style="584" bestFit="1" customWidth="1"/>
    <col min="5919" max="6144" width="14.42578125" style="584"/>
    <col min="6145" max="6145" width="8.7109375" style="584" customWidth="1"/>
    <col min="6146" max="6146" width="7.7109375" style="584" customWidth="1"/>
    <col min="6147" max="6147" width="10.140625" style="584" customWidth="1"/>
    <col min="6148" max="6148" width="7" style="584" customWidth="1"/>
    <col min="6149" max="6149" width="8.5703125" style="584" customWidth="1"/>
    <col min="6150" max="6150" width="7.7109375" style="584" customWidth="1"/>
    <col min="6151" max="6151" width="8.28515625" style="584" customWidth="1"/>
    <col min="6152" max="6152" width="36" style="584" customWidth="1"/>
    <col min="6153" max="6172" width="20.28515625" style="584" customWidth="1"/>
    <col min="6173" max="6173" width="51.42578125" style="584" customWidth="1"/>
    <col min="6174" max="6174" width="18.85546875" style="584" bestFit="1" customWidth="1"/>
    <col min="6175" max="6400" width="14.42578125" style="584"/>
    <col min="6401" max="6401" width="8.7109375" style="584" customWidth="1"/>
    <col min="6402" max="6402" width="7.7109375" style="584" customWidth="1"/>
    <col min="6403" max="6403" width="10.140625" style="584" customWidth="1"/>
    <col min="6404" max="6404" width="7" style="584" customWidth="1"/>
    <col min="6405" max="6405" width="8.5703125" style="584" customWidth="1"/>
    <col min="6406" max="6406" width="7.7109375" style="584" customWidth="1"/>
    <col min="6407" max="6407" width="8.28515625" style="584" customWidth="1"/>
    <col min="6408" max="6408" width="36" style="584" customWidth="1"/>
    <col min="6409" max="6428" width="20.28515625" style="584" customWidth="1"/>
    <col min="6429" max="6429" width="51.42578125" style="584" customWidth="1"/>
    <col min="6430" max="6430" width="18.85546875" style="584" bestFit="1" customWidth="1"/>
    <col min="6431" max="6656" width="14.42578125" style="584"/>
    <col min="6657" max="6657" width="8.7109375" style="584" customWidth="1"/>
    <col min="6658" max="6658" width="7.7109375" style="584" customWidth="1"/>
    <col min="6659" max="6659" width="10.140625" style="584" customWidth="1"/>
    <col min="6660" max="6660" width="7" style="584" customWidth="1"/>
    <col min="6661" max="6661" width="8.5703125" style="584" customWidth="1"/>
    <col min="6662" max="6662" width="7.7109375" style="584" customWidth="1"/>
    <col min="6663" max="6663" width="8.28515625" style="584" customWidth="1"/>
    <col min="6664" max="6664" width="36" style="584" customWidth="1"/>
    <col min="6665" max="6684" width="20.28515625" style="584" customWidth="1"/>
    <col min="6685" max="6685" width="51.42578125" style="584" customWidth="1"/>
    <col min="6686" max="6686" width="18.85546875" style="584" bestFit="1" customWidth="1"/>
    <col min="6687" max="6912" width="14.42578125" style="584"/>
    <col min="6913" max="6913" width="8.7109375" style="584" customWidth="1"/>
    <col min="6914" max="6914" width="7.7109375" style="584" customWidth="1"/>
    <col min="6915" max="6915" width="10.140625" style="584" customWidth="1"/>
    <col min="6916" max="6916" width="7" style="584" customWidth="1"/>
    <col min="6917" max="6917" width="8.5703125" style="584" customWidth="1"/>
    <col min="6918" max="6918" width="7.7109375" style="584" customWidth="1"/>
    <col min="6919" max="6919" width="8.28515625" style="584" customWidth="1"/>
    <col min="6920" max="6920" width="36" style="584" customWidth="1"/>
    <col min="6921" max="6940" width="20.28515625" style="584" customWidth="1"/>
    <col min="6941" max="6941" width="51.42578125" style="584" customWidth="1"/>
    <col min="6942" max="6942" width="18.85546875" style="584" bestFit="1" customWidth="1"/>
    <col min="6943" max="7168" width="14.42578125" style="584"/>
    <col min="7169" max="7169" width="8.7109375" style="584" customWidth="1"/>
    <col min="7170" max="7170" width="7.7109375" style="584" customWidth="1"/>
    <col min="7171" max="7171" width="10.140625" style="584" customWidth="1"/>
    <col min="7172" max="7172" width="7" style="584" customWidth="1"/>
    <col min="7173" max="7173" width="8.5703125" style="584" customWidth="1"/>
    <col min="7174" max="7174" width="7.7109375" style="584" customWidth="1"/>
    <col min="7175" max="7175" width="8.28515625" style="584" customWidth="1"/>
    <col min="7176" max="7176" width="36" style="584" customWidth="1"/>
    <col min="7177" max="7196" width="20.28515625" style="584" customWidth="1"/>
    <col min="7197" max="7197" width="51.42578125" style="584" customWidth="1"/>
    <col min="7198" max="7198" width="18.85546875" style="584" bestFit="1" customWidth="1"/>
    <col min="7199" max="7424" width="14.42578125" style="584"/>
    <col min="7425" max="7425" width="8.7109375" style="584" customWidth="1"/>
    <col min="7426" max="7426" width="7.7109375" style="584" customWidth="1"/>
    <col min="7427" max="7427" width="10.140625" style="584" customWidth="1"/>
    <col min="7428" max="7428" width="7" style="584" customWidth="1"/>
    <col min="7429" max="7429" width="8.5703125" style="584" customWidth="1"/>
    <col min="7430" max="7430" width="7.7109375" style="584" customWidth="1"/>
    <col min="7431" max="7431" width="8.28515625" style="584" customWidth="1"/>
    <col min="7432" max="7432" width="36" style="584" customWidth="1"/>
    <col min="7433" max="7452" width="20.28515625" style="584" customWidth="1"/>
    <col min="7453" max="7453" width="51.42578125" style="584" customWidth="1"/>
    <col min="7454" max="7454" width="18.85546875" style="584" bestFit="1" customWidth="1"/>
    <col min="7455" max="7680" width="14.42578125" style="584"/>
    <col min="7681" max="7681" width="8.7109375" style="584" customWidth="1"/>
    <col min="7682" max="7682" width="7.7109375" style="584" customWidth="1"/>
    <col min="7683" max="7683" width="10.140625" style="584" customWidth="1"/>
    <col min="7684" max="7684" width="7" style="584" customWidth="1"/>
    <col min="7685" max="7685" width="8.5703125" style="584" customWidth="1"/>
    <col min="7686" max="7686" width="7.7109375" style="584" customWidth="1"/>
    <col min="7687" max="7687" width="8.28515625" style="584" customWidth="1"/>
    <col min="7688" max="7688" width="36" style="584" customWidth="1"/>
    <col min="7689" max="7708" width="20.28515625" style="584" customWidth="1"/>
    <col min="7709" max="7709" width="51.42578125" style="584" customWidth="1"/>
    <col min="7710" max="7710" width="18.85546875" style="584" bestFit="1" customWidth="1"/>
    <col min="7711" max="7936" width="14.42578125" style="584"/>
    <col min="7937" max="7937" width="8.7109375" style="584" customWidth="1"/>
    <col min="7938" max="7938" width="7.7109375" style="584" customWidth="1"/>
    <col min="7939" max="7939" width="10.140625" style="584" customWidth="1"/>
    <col min="7940" max="7940" width="7" style="584" customWidth="1"/>
    <col min="7941" max="7941" width="8.5703125" style="584" customWidth="1"/>
    <col min="7942" max="7942" width="7.7109375" style="584" customWidth="1"/>
    <col min="7943" max="7943" width="8.28515625" style="584" customWidth="1"/>
    <col min="7944" max="7944" width="36" style="584" customWidth="1"/>
    <col min="7945" max="7964" width="20.28515625" style="584" customWidth="1"/>
    <col min="7965" max="7965" width="51.42578125" style="584" customWidth="1"/>
    <col min="7966" max="7966" width="18.85546875" style="584" bestFit="1" customWidth="1"/>
    <col min="7967" max="8192" width="14.42578125" style="584"/>
    <col min="8193" max="8193" width="8.7109375" style="584" customWidth="1"/>
    <col min="8194" max="8194" width="7.7109375" style="584" customWidth="1"/>
    <col min="8195" max="8195" width="10.140625" style="584" customWidth="1"/>
    <col min="8196" max="8196" width="7" style="584" customWidth="1"/>
    <col min="8197" max="8197" width="8.5703125" style="584" customWidth="1"/>
    <col min="8198" max="8198" width="7.7109375" style="584" customWidth="1"/>
    <col min="8199" max="8199" width="8.28515625" style="584" customWidth="1"/>
    <col min="8200" max="8200" width="36" style="584" customWidth="1"/>
    <col min="8201" max="8220" width="20.28515625" style="584" customWidth="1"/>
    <col min="8221" max="8221" width="51.42578125" style="584" customWidth="1"/>
    <col min="8222" max="8222" width="18.85546875" style="584" bestFit="1" customWidth="1"/>
    <col min="8223" max="8448" width="14.42578125" style="584"/>
    <col min="8449" max="8449" width="8.7109375" style="584" customWidth="1"/>
    <col min="8450" max="8450" width="7.7109375" style="584" customWidth="1"/>
    <col min="8451" max="8451" width="10.140625" style="584" customWidth="1"/>
    <col min="8452" max="8452" width="7" style="584" customWidth="1"/>
    <col min="8453" max="8453" width="8.5703125" style="584" customWidth="1"/>
    <col min="8454" max="8454" width="7.7109375" style="584" customWidth="1"/>
    <col min="8455" max="8455" width="8.28515625" style="584" customWidth="1"/>
    <col min="8456" max="8456" width="36" style="584" customWidth="1"/>
    <col min="8457" max="8476" width="20.28515625" style="584" customWidth="1"/>
    <col min="8477" max="8477" width="51.42578125" style="584" customWidth="1"/>
    <col min="8478" max="8478" width="18.85546875" style="584" bestFit="1" customWidth="1"/>
    <col min="8479" max="8704" width="14.42578125" style="584"/>
    <col min="8705" max="8705" width="8.7109375" style="584" customWidth="1"/>
    <col min="8706" max="8706" width="7.7109375" style="584" customWidth="1"/>
    <col min="8707" max="8707" width="10.140625" style="584" customWidth="1"/>
    <col min="8708" max="8708" width="7" style="584" customWidth="1"/>
    <col min="8709" max="8709" width="8.5703125" style="584" customWidth="1"/>
    <col min="8710" max="8710" width="7.7109375" style="584" customWidth="1"/>
    <col min="8711" max="8711" width="8.28515625" style="584" customWidth="1"/>
    <col min="8712" max="8712" width="36" style="584" customWidth="1"/>
    <col min="8713" max="8732" width="20.28515625" style="584" customWidth="1"/>
    <col min="8733" max="8733" width="51.42578125" style="584" customWidth="1"/>
    <col min="8734" max="8734" width="18.85546875" style="584" bestFit="1" customWidth="1"/>
    <col min="8735" max="8960" width="14.42578125" style="584"/>
    <col min="8961" max="8961" width="8.7109375" style="584" customWidth="1"/>
    <col min="8962" max="8962" width="7.7109375" style="584" customWidth="1"/>
    <col min="8963" max="8963" width="10.140625" style="584" customWidth="1"/>
    <col min="8964" max="8964" width="7" style="584" customWidth="1"/>
    <col min="8965" max="8965" width="8.5703125" style="584" customWidth="1"/>
    <col min="8966" max="8966" width="7.7109375" style="584" customWidth="1"/>
    <col min="8967" max="8967" width="8.28515625" style="584" customWidth="1"/>
    <col min="8968" max="8968" width="36" style="584" customWidth="1"/>
    <col min="8969" max="8988" width="20.28515625" style="584" customWidth="1"/>
    <col min="8989" max="8989" width="51.42578125" style="584" customWidth="1"/>
    <col min="8990" max="8990" width="18.85546875" style="584" bestFit="1" customWidth="1"/>
    <col min="8991" max="9216" width="14.42578125" style="584"/>
    <col min="9217" max="9217" width="8.7109375" style="584" customWidth="1"/>
    <col min="9218" max="9218" width="7.7109375" style="584" customWidth="1"/>
    <col min="9219" max="9219" width="10.140625" style="584" customWidth="1"/>
    <col min="9220" max="9220" width="7" style="584" customWidth="1"/>
    <col min="9221" max="9221" width="8.5703125" style="584" customWidth="1"/>
    <col min="9222" max="9222" width="7.7109375" style="584" customWidth="1"/>
    <col min="9223" max="9223" width="8.28515625" style="584" customWidth="1"/>
    <col min="9224" max="9224" width="36" style="584" customWidth="1"/>
    <col min="9225" max="9244" width="20.28515625" style="584" customWidth="1"/>
    <col min="9245" max="9245" width="51.42578125" style="584" customWidth="1"/>
    <col min="9246" max="9246" width="18.85546875" style="584" bestFit="1" customWidth="1"/>
    <col min="9247" max="9472" width="14.42578125" style="584"/>
    <col min="9473" max="9473" width="8.7109375" style="584" customWidth="1"/>
    <col min="9474" max="9474" width="7.7109375" style="584" customWidth="1"/>
    <col min="9475" max="9475" width="10.140625" style="584" customWidth="1"/>
    <col min="9476" max="9476" width="7" style="584" customWidth="1"/>
    <col min="9477" max="9477" width="8.5703125" style="584" customWidth="1"/>
    <col min="9478" max="9478" width="7.7109375" style="584" customWidth="1"/>
    <col min="9479" max="9479" width="8.28515625" style="584" customWidth="1"/>
    <col min="9480" max="9480" width="36" style="584" customWidth="1"/>
    <col min="9481" max="9500" width="20.28515625" style="584" customWidth="1"/>
    <col min="9501" max="9501" width="51.42578125" style="584" customWidth="1"/>
    <col min="9502" max="9502" width="18.85546875" style="584" bestFit="1" customWidth="1"/>
    <col min="9503" max="9728" width="14.42578125" style="584"/>
    <col min="9729" max="9729" width="8.7109375" style="584" customWidth="1"/>
    <col min="9730" max="9730" width="7.7109375" style="584" customWidth="1"/>
    <col min="9731" max="9731" width="10.140625" style="584" customWidth="1"/>
    <col min="9732" max="9732" width="7" style="584" customWidth="1"/>
    <col min="9733" max="9733" width="8.5703125" style="584" customWidth="1"/>
    <col min="9734" max="9734" width="7.7109375" style="584" customWidth="1"/>
    <col min="9735" max="9735" width="8.28515625" style="584" customWidth="1"/>
    <col min="9736" max="9736" width="36" style="584" customWidth="1"/>
    <col min="9737" max="9756" width="20.28515625" style="584" customWidth="1"/>
    <col min="9757" max="9757" width="51.42578125" style="584" customWidth="1"/>
    <col min="9758" max="9758" width="18.85546875" style="584" bestFit="1" customWidth="1"/>
    <col min="9759" max="9984" width="14.42578125" style="584"/>
    <col min="9985" max="9985" width="8.7109375" style="584" customWidth="1"/>
    <col min="9986" max="9986" width="7.7109375" style="584" customWidth="1"/>
    <col min="9987" max="9987" width="10.140625" style="584" customWidth="1"/>
    <col min="9988" max="9988" width="7" style="584" customWidth="1"/>
    <col min="9989" max="9989" width="8.5703125" style="584" customWidth="1"/>
    <col min="9990" max="9990" width="7.7109375" style="584" customWidth="1"/>
    <col min="9991" max="9991" width="8.28515625" style="584" customWidth="1"/>
    <col min="9992" max="9992" width="36" style="584" customWidth="1"/>
    <col min="9993" max="10012" width="20.28515625" style="584" customWidth="1"/>
    <col min="10013" max="10013" width="51.42578125" style="584" customWidth="1"/>
    <col min="10014" max="10014" width="18.85546875" style="584" bestFit="1" customWidth="1"/>
    <col min="10015" max="10240" width="14.42578125" style="584"/>
    <col min="10241" max="10241" width="8.7109375" style="584" customWidth="1"/>
    <col min="10242" max="10242" width="7.7109375" style="584" customWidth="1"/>
    <col min="10243" max="10243" width="10.140625" style="584" customWidth="1"/>
    <col min="10244" max="10244" width="7" style="584" customWidth="1"/>
    <col min="10245" max="10245" width="8.5703125" style="584" customWidth="1"/>
    <col min="10246" max="10246" width="7.7109375" style="584" customWidth="1"/>
    <col min="10247" max="10247" width="8.28515625" style="584" customWidth="1"/>
    <col min="10248" max="10248" width="36" style="584" customWidth="1"/>
    <col min="10249" max="10268" width="20.28515625" style="584" customWidth="1"/>
    <col min="10269" max="10269" width="51.42578125" style="584" customWidth="1"/>
    <col min="10270" max="10270" width="18.85546875" style="584" bestFit="1" customWidth="1"/>
    <col min="10271" max="10496" width="14.42578125" style="584"/>
    <col min="10497" max="10497" width="8.7109375" style="584" customWidth="1"/>
    <col min="10498" max="10498" width="7.7109375" style="584" customWidth="1"/>
    <col min="10499" max="10499" width="10.140625" style="584" customWidth="1"/>
    <col min="10500" max="10500" width="7" style="584" customWidth="1"/>
    <col min="10501" max="10501" width="8.5703125" style="584" customWidth="1"/>
    <col min="10502" max="10502" width="7.7109375" style="584" customWidth="1"/>
    <col min="10503" max="10503" width="8.28515625" style="584" customWidth="1"/>
    <col min="10504" max="10504" width="36" style="584" customWidth="1"/>
    <col min="10505" max="10524" width="20.28515625" style="584" customWidth="1"/>
    <col min="10525" max="10525" width="51.42578125" style="584" customWidth="1"/>
    <col min="10526" max="10526" width="18.85546875" style="584" bestFit="1" customWidth="1"/>
    <col min="10527" max="10752" width="14.42578125" style="584"/>
    <col min="10753" max="10753" width="8.7109375" style="584" customWidth="1"/>
    <col min="10754" max="10754" width="7.7109375" style="584" customWidth="1"/>
    <col min="10755" max="10755" width="10.140625" style="584" customWidth="1"/>
    <col min="10756" max="10756" width="7" style="584" customWidth="1"/>
    <col min="10757" max="10757" width="8.5703125" style="584" customWidth="1"/>
    <col min="10758" max="10758" width="7.7109375" style="584" customWidth="1"/>
    <col min="10759" max="10759" width="8.28515625" style="584" customWidth="1"/>
    <col min="10760" max="10760" width="36" style="584" customWidth="1"/>
    <col min="10761" max="10780" width="20.28515625" style="584" customWidth="1"/>
    <col min="10781" max="10781" width="51.42578125" style="584" customWidth="1"/>
    <col min="10782" max="10782" width="18.85546875" style="584" bestFit="1" customWidth="1"/>
    <col min="10783" max="11008" width="14.42578125" style="584"/>
    <col min="11009" max="11009" width="8.7109375" style="584" customWidth="1"/>
    <col min="11010" max="11010" width="7.7109375" style="584" customWidth="1"/>
    <col min="11011" max="11011" width="10.140625" style="584" customWidth="1"/>
    <col min="11012" max="11012" width="7" style="584" customWidth="1"/>
    <col min="11013" max="11013" width="8.5703125" style="584" customWidth="1"/>
    <col min="11014" max="11014" width="7.7109375" style="584" customWidth="1"/>
    <col min="11015" max="11015" width="8.28515625" style="584" customWidth="1"/>
    <col min="11016" max="11016" width="36" style="584" customWidth="1"/>
    <col min="11017" max="11036" width="20.28515625" style="584" customWidth="1"/>
    <col min="11037" max="11037" width="51.42578125" style="584" customWidth="1"/>
    <col min="11038" max="11038" width="18.85546875" style="584" bestFit="1" customWidth="1"/>
    <col min="11039" max="11264" width="14.42578125" style="584"/>
    <col min="11265" max="11265" width="8.7109375" style="584" customWidth="1"/>
    <col min="11266" max="11266" width="7.7109375" style="584" customWidth="1"/>
    <col min="11267" max="11267" width="10.140625" style="584" customWidth="1"/>
    <col min="11268" max="11268" width="7" style="584" customWidth="1"/>
    <col min="11269" max="11269" width="8.5703125" style="584" customWidth="1"/>
    <col min="11270" max="11270" width="7.7109375" style="584" customWidth="1"/>
    <col min="11271" max="11271" width="8.28515625" style="584" customWidth="1"/>
    <col min="11272" max="11272" width="36" style="584" customWidth="1"/>
    <col min="11273" max="11292" width="20.28515625" style="584" customWidth="1"/>
    <col min="11293" max="11293" width="51.42578125" style="584" customWidth="1"/>
    <col min="11294" max="11294" width="18.85546875" style="584" bestFit="1" customWidth="1"/>
    <col min="11295" max="11520" width="14.42578125" style="584"/>
    <col min="11521" max="11521" width="8.7109375" style="584" customWidth="1"/>
    <col min="11522" max="11522" width="7.7109375" style="584" customWidth="1"/>
    <col min="11523" max="11523" width="10.140625" style="584" customWidth="1"/>
    <col min="11524" max="11524" width="7" style="584" customWidth="1"/>
    <col min="11525" max="11525" width="8.5703125" style="584" customWidth="1"/>
    <col min="11526" max="11526" width="7.7109375" style="584" customWidth="1"/>
    <col min="11527" max="11527" width="8.28515625" style="584" customWidth="1"/>
    <col min="11528" max="11528" width="36" style="584" customWidth="1"/>
    <col min="11529" max="11548" width="20.28515625" style="584" customWidth="1"/>
    <col min="11549" max="11549" width="51.42578125" style="584" customWidth="1"/>
    <col min="11550" max="11550" width="18.85546875" style="584" bestFit="1" customWidth="1"/>
    <col min="11551" max="11776" width="14.42578125" style="584"/>
    <col min="11777" max="11777" width="8.7109375" style="584" customWidth="1"/>
    <col min="11778" max="11778" width="7.7109375" style="584" customWidth="1"/>
    <col min="11779" max="11779" width="10.140625" style="584" customWidth="1"/>
    <col min="11780" max="11780" width="7" style="584" customWidth="1"/>
    <col min="11781" max="11781" width="8.5703125" style="584" customWidth="1"/>
    <col min="11782" max="11782" width="7.7109375" style="584" customWidth="1"/>
    <col min="11783" max="11783" width="8.28515625" style="584" customWidth="1"/>
    <col min="11784" max="11784" width="36" style="584" customWidth="1"/>
    <col min="11785" max="11804" width="20.28515625" style="584" customWidth="1"/>
    <col min="11805" max="11805" width="51.42578125" style="584" customWidth="1"/>
    <col min="11806" max="11806" width="18.85546875" style="584" bestFit="1" customWidth="1"/>
    <col min="11807" max="12032" width="14.42578125" style="584"/>
    <col min="12033" max="12033" width="8.7109375" style="584" customWidth="1"/>
    <col min="12034" max="12034" width="7.7109375" style="584" customWidth="1"/>
    <col min="12035" max="12035" width="10.140625" style="584" customWidth="1"/>
    <col min="12036" max="12036" width="7" style="584" customWidth="1"/>
    <col min="12037" max="12037" width="8.5703125" style="584" customWidth="1"/>
    <col min="12038" max="12038" width="7.7109375" style="584" customWidth="1"/>
    <col min="12039" max="12039" width="8.28515625" style="584" customWidth="1"/>
    <col min="12040" max="12040" width="36" style="584" customWidth="1"/>
    <col min="12041" max="12060" width="20.28515625" style="584" customWidth="1"/>
    <col min="12061" max="12061" width="51.42578125" style="584" customWidth="1"/>
    <col min="12062" max="12062" width="18.85546875" style="584" bestFit="1" customWidth="1"/>
    <col min="12063" max="12288" width="14.42578125" style="584"/>
    <col min="12289" max="12289" width="8.7109375" style="584" customWidth="1"/>
    <col min="12290" max="12290" width="7.7109375" style="584" customWidth="1"/>
    <col min="12291" max="12291" width="10.140625" style="584" customWidth="1"/>
    <col min="12292" max="12292" width="7" style="584" customWidth="1"/>
    <col min="12293" max="12293" width="8.5703125" style="584" customWidth="1"/>
    <col min="12294" max="12294" width="7.7109375" style="584" customWidth="1"/>
    <col min="12295" max="12295" width="8.28515625" style="584" customWidth="1"/>
    <col min="12296" max="12296" width="36" style="584" customWidth="1"/>
    <col min="12297" max="12316" width="20.28515625" style="584" customWidth="1"/>
    <col min="12317" max="12317" width="51.42578125" style="584" customWidth="1"/>
    <col min="12318" max="12318" width="18.85546875" style="584" bestFit="1" customWidth="1"/>
    <col min="12319" max="12544" width="14.42578125" style="584"/>
    <col min="12545" max="12545" width="8.7109375" style="584" customWidth="1"/>
    <col min="12546" max="12546" width="7.7109375" style="584" customWidth="1"/>
    <col min="12547" max="12547" width="10.140625" style="584" customWidth="1"/>
    <col min="12548" max="12548" width="7" style="584" customWidth="1"/>
    <col min="12549" max="12549" width="8.5703125" style="584" customWidth="1"/>
    <col min="12550" max="12550" width="7.7109375" style="584" customWidth="1"/>
    <col min="12551" max="12551" width="8.28515625" style="584" customWidth="1"/>
    <col min="12552" max="12552" width="36" style="584" customWidth="1"/>
    <col min="12553" max="12572" width="20.28515625" style="584" customWidth="1"/>
    <col min="12573" max="12573" width="51.42578125" style="584" customWidth="1"/>
    <col min="12574" max="12574" width="18.85546875" style="584" bestFit="1" customWidth="1"/>
    <col min="12575" max="12800" width="14.42578125" style="584"/>
    <col min="12801" max="12801" width="8.7109375" style="584" customWidth="1"/>
    <col min="12802" max="12802" width="7.7109375" style="584" customWidth="1"/>
    <col min="12803" max="12803" width="10.140625" style="584" customWidth="1"/>
    <col min="12804" max="12804" width="7" style="584" customWidth="1"/>
    <col min="12805" max="12805" width="8.5703125" style="584" customWidth="1"/>
    <col min="12806" max="12806" width="7.7109375" style="584" customWidth="1"/>
    <col min="12807" max="12807" width="8.28515625" style="584" customWidth="1"/>
    <col min="12808" max="12808" width="36" style="584" customWidth="1"/>
    <col min="12809" max="12828" width="20.28515625" style="584" customWidth="1"/>
    <col min="12829" max="12829" width="51.42578125" style="584" customWidth="1"/>
    <col min="12830" max="12830" width="18.85546875" style="584" bestFit="1" customWidth="1"/>
    <col min="12831" max="13056" width="14.42578125" style="584"/>
    <col min="13057" max="13057" width="8.7109375" style="584" customWidth="1"/>
    <col min="13058" max="13058" width="7.7109375" style="584" customWidth="1"/>
    <col min="13059" max="13059" width="10.140625" style="584" customWidth="1"/>
    <col min="13060" max="13060" width="7" style="584" customWidth="1"/>
    <col min="13061" max="13061" width="8.5703125" style="584" customWidth="1"/>
    <col min="13062" max="13062" width="7.7109375" style="584" customWidth="1"/>
    <col min="13063" max="13063" width="8.28515625" style="584" customWidth="1"/>
    <col min="13064" max="13064" width="36" style="584" customWidth="1"/>
    <col min="13065" max="13084" width="20.28515625" style="584" customWidth="1"/>
    <col min="13085" max="13085" width="51.42578125" style="584" customWidth="1"/>
    <col min="13086" max="13086" width="18.85546875" style="584" bestFit="1" customWidth="1"/>
    <col min="13087" max="13312" width="14.42578125" style="584"/>
    <col min="13313" max="13313" width="8.7109375" style="584" customWidth="1"/>
    <col min="13314" max="13314" width="7.7109375" style="584" customWidth="1"/>
    <col min="13315" max="13315" width="10.140625" style="584" customWidth="1"/>
    <col min="13316" max="13316" width="7" style="584" customWidth="1"/>
    <col min="13317" max="13317" width="8.5703125" style="584" customWidth="1"/>
    <col min="13318" max="13318" width="7.7109375" style="584" customWidth="1"/>
    <col min="13319" max="13319" width="8.28515625" style="584" customWidth="1"/>
    <col min="13320" max="13320" width="36" style="584" customWidth="1"/>
    <col min="13321" max="13340" width="20.28515625" style="584" customWidth="1"/>
    <col min="13341" max="13341" width="51.42578125" style="584" customWidth="1"/>
    <col min="13342" max="13342" width="18.85546875" style="584" bestFit="1" customWidth="1"/>
    <col min="13343" max="13568" width="14.42578125" style="584"/>
    <col min="13569" max="13569" width="8.7109375" style="584" customWidth="1"/>
    <col min="13570" max="13570" width="7.7109375" style="584" customWidth="1"/>
    <col min="13571" max="13571" width="10.140625" style="584" customWidth="1"/>
    <col min="13572" max="13572" width="7" style="584" customWidth="1"/>
    <col min="13573" max="13573" width="8.5703125" style="584" customWidth="1"/>
    <col min="13574" max="13574" width="7.7109375" style="584" customWidth="1"/>
    <col min="13575" max="13575" width="8.28515625" style="584" customWidth="1"/>
    <col min="13576" max="13576" width="36" style="584" customWidth="1"/>
    <col min="13577" max="13596" width="20.28515625" style="584" customWidth="1"/>
    <col min="13597" max="13597" width="51.42578125" style="584" customWidth="1"/>
    <col min="13598" max="13598" width="18.85546875" style="584" bestFit="1" customWidth="1"/>
    <col min="13599" max="13824" width="14.42578125" style="584"/>
    <col min="13825" max="13825" width="8.7109375" style="584" customWidth="1"/>
    <col min="13826" max="13826" width="7.7109375" style="584" customWidth="1"/>
    <col min="13827" max="13827" width="10.140625" style="584" customWidth="1"/>
    <col min="13828" max="13828" width="7" style="584" customWidth="1"/>
    <col min="13829" max="13829" width="8.5703125" style="584" customWidth="1"/>
    <col min="13830" max="13830" width="7.7109375" style="584" customWidth="1"/>
    <col min="13831" max="13831" width="8.28515625" style="584" customWidth="1"/>
    <col min="13832" max="13832" width="36" style="584" customWidth="1"/>
    <col min="13833" max="13852" width="20.28515625" style="584" customWidth="1"/>
    <col min="13853" max="13853" width="51.42578125" style="584" customWidth="1"/>
    <col min="13854" max="13854" width="18.85546875" style="584" bestFit="1" customWidth="1"/>
    <col min="13855" max="14080" width="14.42578125" style="584"/>
    <col min="14081" max="14081" width="8.7109375" style="584" customWidth="1"/>
    <col min="14082" max="14082" width="7.7109375" style="584" customWidth="1"/>
    <col min="14083" max="14083" width="10.140625" style="584" customWidth="1"/>
    <col min="14084" max="14084" width="7" style="584" customWidth="1"/>
    <col min="14085" max="14085" width="8.5703125" style="584" customWidth="1"/>
    <col min="14086" max="14086" width="7.7109375" style="584" customWidth="1"/>
    <col min="14087" max="14087" width="8.28515625" style="584" customWidth="1"/>
    <col min="14088" max="14088" width="36" style="584" customWidth="1"/>
    <col min="14089" max="14108" width="20.28515625" style="584" customWidth="1"/>
    <col min="14109" max="14109" width="51.42578125" style="584" customWidth="1"/>
    <col min="14110" max="14110" width="18.85546875" style="584" bestFit="1" customWidth="1"/>
    <col min="14111" max="14336" width="14.42578125" style="584"/>
    <col min="14337" max="14337" width="8.7109375" style="584" customWidth="1"/>
    <col min="14338" max="14338" width="7.7109375" style="584" customWidth="1"/>
    <col min="14339" max="14339" width="10.140625" style="584" customWidth="1"/>
    <col min="14340" max="14340" width="7" style="584" customWidth="1"/>
    <col min="14341" max="14341" width="8.5703125" style="584" customWidth="1"/>
    <col min="14342" max="14342" width="7.7109375" style="584" customWidth="1"/>
    <col min="14343" max="14343" width="8.28515625" style="584" customWidth="1"/>
    <col min="14344" max="14344" width="36" style="584" customWidth="1"/>
    <col min="14345" max="14364" width="20.28515625" style="584" customWidth="1"/>
    <col min="14365" max="14365" width="51.42578125" style="584" customWidth="1"/>
    <col min="14366" max="14366" width="18.85546875" style="584" bestFit="1" customWidth="1"/>
    <col min="14367" max="14592" width="14.42578125" style="584"/>
    <col min="14593" max="14593" width="8.7109375" style="584" customWidth="1"/>
    <col min="14594" max="14594" width="7.7109375" style="584" customWidth="1"/>
    <col min="14595" max="14595" width="10.140625" style="584" customWidth="1"/>
    <col min="14596" max="14596" width="7" style="584" customWidth="1"/>
    <col min="14597" max="14597" width="8.5703125" style="584" customWidth="1"/>
    <col min="14598" max="14598" width="7.7109375" style="584" customWidth="1"/>
    <col min="14599" max="14599" width="8.28515625" style="584" customWidth="1"/>
    <col min="14600" max="14600" width="36" style="584" customWidth="1"/>
    <col min="14601" max="14620" width="20.28515625" style="584" customWidth="1"/>
    <col min="14621" max="14621" width="51.42578125" style="584" customWidth="1"/>
    <col min="14622" max="14622" width="18.85546875" style="584" bestFit="1" customWidth="1"/>
    <col min="14623" max="14848" width="14.42578125" style="584"/>
    <col min="14849" max="14849" width="8.7109375" style="584" customWidth="1"/>
    <col min="14850" max="14850" width="7.7109375" style="584" customWidth="1"/>
    <col min="14851" max="14851" width="10.140625" style="584" customWidth="1"/>
    <col min="14852" max="14852" width="7" style="584" customWidth="1"/>
    <col min="14853" max="14853" width="8.5703125" style="584" customWidth="1"/>
    <col min="14854" max="14854" width="7.7109375" style="584" customWidth="1"/>
    <col min="14855" max="14855" width="8.28515625" style="584" customWidth="1"/>
    <col min="14856" max="14856" width="36" style="584" customWidth="1"/>
    <col min="14857" max="14876" width="20.28515625" style="584" customWidth="1"/>
    <col min="14877" max="14877" width="51.42578125" style="584" customWidth="1"/>
    <col min="14878" max="14878" width="18.85546875" style="584" bestFit="1" customWidth="1"/>
    <col min="14879" max="15104" width="14.42578125" style="584"/>
    <col min="15105" max="15105" width="8.7109375" style="584" customWidth="1"/>
    <col min="15106" max="15106" width="7.7109375" style="584" customWidth="1"/>
    <col min="15107" max="15107" width="10.140625" style="584" customWidth="1"/>
    <col min="15108" max="15108" width="7" style="584" customWidth="1"/>
    <col min="15109" max="15109" width="8.5703125" style="584" customWidth="1"/>
    <col min="15110" max="15110" width="7.7109375" style="584" customWidth="1"/>
    <col min="15111" max="15111" width="8.28515625" style="584" customWidth="1"/>
    <col min="15112" max="15112" width="36" style="584" customWidth="1"/>
    <col min="15113" max="15132" width="20.28515625" style="584" customWidth="1"/>
    <col min="15133" max="15133" width="51.42578125" style="584" customWidth="1"/>
    <col min="15134" max="15134" width="18.85546875" style="584" bestFit="1" customWidth="1"/>
    <col min="15135" max="15360" width="14.42578125" style="584"/>
    <col min="15361" max="15361" width="8.7109375" style="584" customWidth="1"/>
    <col min="15362" max="15362" width="7.7109375" style="584" customWidth="1"/>
    <col min="15363" max="15363" width="10.140625" style="584" customWidth="1"/>
    <col min="15364" max="15364" width="7" style="584" customWidth="1"/>
    <col min="15365" max="15365" width="8.5703125" style="584" customWidth="1"/>
    <col min="15366" max="15366" width="7.7109375" style="584" customWidth="1"/>
    <col min="15367" max="15367" width="8.28515625" style="584" customWidth="1"/>
    <col min="15368" max="15368" width="36" style="584" customWidth="1"/>
    <col min="15369" max="15388" width="20.28515625" style="584" customWidth="1"/>
    <col min="15389" max="15389" width="51.42578125" style="584" customWidth="1"/>
    <col min="15390" max="15390" width="18.85546875" style="584" bestFit="1" customWidth="1"/>
    <col min="15391" max="15616" width="14.42578125" style="584"/>
    <col min="15617" max="15617" width="8.7109375" style="584" customWidth="1"/>
    <col min="15618" max="15618" width="7.7109375" style="584" customWidth="1"/>
    <col min="15619" max="15619" width="10.140625" style="584" customWidth="1"/>
    <col min="15620" max="15620" width="7" style="584" customWidth="1"/>
    <col min="15621" max="15621" width="8.5703125" style="584" customWidth="1"/>
    <col min="15622" max="15622" width="7.7109375" style="584" customWidth="1"/>
    <col min="15623" max="15623" width="8.28515625" style="584" customWidth="1"/>
    <col min="15624" max="15624" width="36" style="584" customWidth="1"/>
    <col min="15625" max="15644" width="20.28515625" style="584" customWidth="1"/>
    <col min="15645" max="15645" width="51.42578125" style="584" customWidth="1"/>
    <col min="15646" max="15646" width="18.85546875" style="584" bestFit="1" customWidth="1"/>
    <col min="15647" max="15872" width="14.42578125" style="584"/>
    <col min="15873" max="15873" width="8.7109375" style="584" customWidth="1"/>
    <col min="15874" max="15874" width="7.7109375" style="584" customWidth="1"/>
    <col min="15875" max="15875" width="10.140625" style="584" customWidth="1"/>
    <col min="15876" max="15876" width="7" style="584" customWidth="1"/>
    <col min="15877" max="15877" width="8.5703125" style="584" customWidth="1"/>
    <col min="15878" max="15878" width="7.7109375" style="584" customWidth="1"/>
    <col min="15879" max="15879" width="8.28515625" style="584" customWidth="1"/>
    <col min="15880" max="15880" width="36" style="584" customWidth="1"/>
    <col min="15881" max="15900" width="20.28515625" style="584" customWidth="1"/>
    <col min="15901" max="15901" width="51.42578125" style="584" customWidth="1"/>
    <col min="15902" max="15902" width="18.85546875" style="584" bestFit="1" customWidth="1"/>
    <col min="15903" max="16128" width="14.42578125" style="584"/>
    <col min="16129" max="16129" width="8.7109375" style="584" customWidth="1"/>
    <col min="16130" max="16130" width="7.7109375" style="584" customWidth="1"/>
    <col min="16131" max="16131" width="10.140625" style="584" customWidth="1"/>
    <col min="16132" max="16132" width="7" style="584" customWidth="1"/>
    <col min="16133" max="16133" width="8.5703125" style="584" customWidth="1"/>
    <col min="16134" max="16134" width="7.7109375" style="584" customWidth="1"/>
    <col min="16135" max="16135" width="8.28515625" style="584" customWidth="1"/>
    <col min="16136" max="16136" width="36" style="584" customWidth="1"/>
    <col min="16137" max="16156" width="20.28515625" style="584" customWidth="1"/>
    <col min="16157" max="16157" width="51.42578125" style="584" customWidth="1"/>
    <col min="16158" max="16158" width="18.85546875" style="584" bestFit="1" customWidth="1"/>
    <col min="16159" max="16384" width="14.42578125" style="584"/>
  </cols>
  <sheetData>
    <row r="1" spans="1:30" ht="15.75" thickBot="1" x14ac:dyDescent="0.3"/>
    <row r="2" spans="1:30" ht="45" customHeight="1" thickTop="1" thickBot="1" x14ac:dyDescent="0.3">
      <c r="A2" s="995" t="s">
        <v>1330</v>
      </c>
      <c r="B2" s="995" t="s">
        <v>1276</v>
      </c>
      <c r="C2" s="997" t="s">
        <v>1331</v>
      </c>
      <c r="D2" s="995" t="s">
        <v>1279</v>
      </c>
      <c r="E2" s="995" t="s">
        <v>1332</v>
      </c>
      <c r="F2" s="995" t="s">
        <v>1333</v>
      </c>
      <c r="G2" s="995" t="s">
        <v>1334</v>
      </c>
      <c r="H2" s="997" t="s">
        <v>1450</v>
      </c>
      <c r="I2" s="992" t="s">
        <v>1402</v>
      </c>
      <c r="J2" s="993"/>
      <c r="K2" s="993"/>
      <c r="L2" s="994"/>
      <c r="M2" s="992" t="s">
        <v>1403</v>
      </c>
      <c r="N2" s="993"/>
      <c r="O2" s="993"/>
      <c r="P2" s="994"/>
      <c r="Q2" s="992" t="s">
        <v>1404</v>
      </c>
      <c r="R2" s="993"/>
      <c r="S2" s="993"/>
      <c r="T2" s="994"/>
      <c r="U2" s="992" t="s">
        <v>1405</v>
      </c>
      <c r="V2" s="993"/>
      <c r="W2" s="993"/>
      <c r="X2" s="994"/>
      <c r="Y2" s="992" t="s">
        <v>1406</v>
      </c>
      <c r="Z2" s="993"/>
      <c r="AA2" s="993"/>
      <c r="AB2" s="994"/>
      <c r="AC2" s="719" t="s">
        <v>1407</v>
      </c>
    </row>
    <row r="3" spans="1:30" ht="16.5" thickTop="1" thickBot="1" x14ac:dyDescent="0.3">
      <c r="A3" s="996"/>
      <c r="B3" s="996"/>
      <c r="C3" s="998"/>
      <c r="D3" s="996"/>
      <c r="E3" s="996"/>
      <c r="F3" s="996"/>
      <c r="G3" s="996"/>
      <c r="H3" s="998"/>
      <c r="I3" s="720" t="s">
        <v>1408</v>
      </c>
      <c r="J3" s="805" t="s">
        <v>1409</v>
      </c>
      <c r="K3" s="805" t="s">
        <v>1410</v>
      </c>
      <c r="L3" s="805" t="s">
        <v>1411</v>
      </c>
      <c r="M3" s="805" t="s">
        <v>1408</v>
      </c>
      <c r="N3" s="805" t="s">
        <v>1409</v>
      </c>
      <c r="O3" s="805" t="s">
        <v>1410</v>
      </c>
      <c r="P3" s="805" t="s">
        <v>1411</v>
      </c>
      <c r="Q3" s="805" t="s">
        <v>1408</v>
      </c>
      <c r="R3" s="805" t="s">
        <v>1409</v>
      </c>
      <c r="S3" s="805" t="s">
        <v>1410</v>
      </c>
      <c r="T3" s="805" t="s">
        <v>1411</v>
      </c>
      <c r="U3" s="805" t="s">
        <v>1408</v>
      </c>
      <c r="V3" s="805" t="s">
        <v>1409</v>
      </c>
      <c r="W3" s="805" t="s">
        <v>1410</v>
      </c>
      <c r="X3" s="805" t="s">
        <v>1411</v>
      </c>
      <c r="Y3" s="805" t="s">
        <v>1408</v>
      </c>
      <c r="Z3" s="805" t="s">
        <v>1409</v>
      </c>
      <c r="AA3" s="805" t="s">
        <v>1410</v>
      </c>
      <c r="AB3" s="805" t="s">
        <v>1412</v>
      </c>
      <c r="AC3" s="805"/>
    </row>
    <row r="4" spans="1:30" ht="16.5" thickTop="1" thickBot="1" x14ac:dyDescent="0.3">
      <c r="A4" s="721" t="s">
        <v>1413</v>
      </c>
      <c r="B4" s="721" t="s">
        <v>1345</v>
      </c>
      <c r="C4" s="721"/>
      <c r="D4" s="721"/>
      <c r="E4" s="721"/>
      <c r="F4" s="721"/>
      <c r="G4" s="721"/>
      <c r="H4" s="722" t="s">
        <v>1414</v>
      </c>
      <c r="I4" s="723">
        <f>+I5+I6+I9+I26</f>
        <v>19420005911</v>
      </c>
      <c r="J4" s="723">
        <f t="shared" ref="J4:X4" si="0">+J5+J6+J9+J26</f>
        <v>18065037581</v>
      </c>
      <c r="K4" s="723">
        <f t="shared" si="0"/>
        <v>16864910638</v>
      </c>
      <c r="L4" s="723">
        <f t="shared" si="0"/>
        <v>16803914452</v>
      </c>
      <c r="M4" s="723">
        <f t="shared" si="0"/>
        <v>5091300000</v>
      </c>
      <c r="N4" s="723">
        <f t="shared" si="0"/>
        <v>5081031139</v>
      </c>
      <c r="O4" s="723">
        <f t="shared" si="0"/>
        <v>5065430196</v>
      </c>
      <c r="P4" s="723">
        <f t="shared" si="0"/>
        <v>5065430196</v>
      </c>
      <c r="Q4" s="723">
        <f t="shared" si="0"/>
        <v>0</v>
      </c>
      <c r="R4" s="723">
        <f t="shared" si="0"/>
        <v>0</v>
      </c>
      <c r="S4" s="723">
        <f t="shared" si="0"/>
        <v>0</v>
      </c>
      <c r="T4" s="723">
        <f t="shared" si="0"/>
        <v>0</v>
      </c>
      <c r="U4" s="723">
        <f t="shared" si="0"/>
        <v>0</v>
      </c>
      <c r="V4" s="723">
        <f t="shared" si="0"/>
        <v>0</v>
      </c>
      <c r="W4" s="723">
        <f t="shared" si="0"/>
        <v>0</v>
      </c>
      <c r="X4" s="723">
        <f t="shared" si="0"/>
        <v>0</v>
      </c>
      <c r="Y4" s="724">
        <f>+I4+M4+Q4+U4</f>
        <v>24511305911</v>
      </c>
      <c r="Z4" s="724">
        <f>+J4+N4+R4+V4</f>
        <v>23146068720</v>
      </c>
      <c r="AA4" s="724">
        <f t="shared" ref="Z4:AB19" si="1">+K4+O4+S4+W4</f>
        <v>21930340834</v>
      </c>
      <c r="AB4" s="724">
        <f t="shared" si="1"/>
        <v>21869344648</v>
      </c>
      <c r="AC4" s="725"/>
      <c r="AD4" s="726"/>
    </row>
    <row r="5" spans="1:30" ht="16.5" thickTop="1" thickBot="1" x14ac:dyDescent="0.3">
      <c r="A5" s="727" t="s">
        <v>1413</v>
      </c>
      <c r="B5" s="727" t="s">
        <v>1345</v>
      </c>
      <c r="C5" s="727" t="s">
        <v>1345</v>
      </c>
      <c r="D5" s="727"/>
      <c r="E5" s="727"/>
      <c r="F5" s="727"/>
      <c r="G5" s="727"/>
      <c r="H5" s="728" t="s">
        <v>1280</v>
      </c>
      <c r="I5" s="729">
        <v>5525399938</v>
      </c>
      <c r="J5" s="729">
        <v>5237800314</v>
      </c>
      <c r="K5" s="729">
        <v>5237800314</v>
      </c>
      <c r="L5" s="729">
        <v>5237800314</v>
      </c>
      <c r="M5" s="730">
        <v>5006900000</v>
      </c>
      <c r="N5" s="730">
        <v>4996631139</v>
      </c>
      <c r="O5" s="730">
        <v>4996631139</v>
      </c>
      <c r="P5" s="730">
        <v>4996631139</v>
      </c>
      <c r="Q5" s="731"/>
      <c r="R5" s="731"/>
      <c r="S5" s="731"/>
      <c r="T5" s="731"/>
      <c r="U5" s="731"/>
      <c r="V5" s="731"/>
      <c r="W5" s="731"/>
      <c r="X5" s="731"/>
      <c r="Y5" s="732">
        <f t="shared" ref="Y5:AB48" si="2">+I5+M5+Q5+U5</f>
        <v>10532299938</v>
      </c>
      <c r="Z5" s="732">
        <f t="shared" si="1"/>
        <v>10234431453</v>
      </c>
      <c r="AA5" s="732">
        <f t="shared" si="1"/>
        <v>10234431453</v>
      </c>
      <c r="AB5" s="732">
        <f t="shared" si="1"/>
        <v>10234431453</v>
      </c>
      <c r="AC5" s="733"/>
    </row>
    <row r="6" spans="1:30" ht="16.5" thickTop="1" thickBot="1" x14ac:dyDescent="0.3">
      <c r="A6" s="734">
        <v>2</v>
      </c>
      <c r="B6" s="727" t="s">
        <v>1345</v>
      </c>
      <c r="C6" s="727" t="s">
        <v>1350</v>
      </c>
      <c r="D6" s="727"/>
      <c r="E6" s="727"/>
      <c r="F6" s="727"/>
      <c r="G6" s="727"/>
      <c r="H6" s="735" t="s">
        <v>1415</v>
      </c>
      <c r="I6" s="736">
        <f>+I7+I8</f>
        <v>12407499710</v>
      </c>
      <c r="J6" s="736">
        <f t="shared" ref="J6:X6" si="3">+J7+J8</f>
        <v>12036184812</v>
      </c>
      <c r="K6" s="736">
        <f t="shared" si="3"/>
        <v>10836057869</v>
      </c>
      <c r="L6" s="736">
        <f t="shared" si="3"/>
        <v>10829564589</v>
      </c>
      <c r="M6" s="731">
        <f t="shared" si="3"/>
        <v>65600000</v>
      </c>
      <c r="N6" s="731">
        <f t="shared" si="3"/>
        <v>65600000</v>
      </c>
      <c r="O6" s="731">
        <f t="shared" si="3"/>
        <v>49999057</v>
      </c>
      <c r="P6" s="731">
        <f t="shared" si="3"/>
        <v>49999057</v>
      </c>
      <c r="Q6" s="731">
        <f t="shared" si="3"/>
        <v>0</v>
      </c>
      <c r="R6" s="731">
        <f t="shared" si="3"/>
        <v>0</v>
      </c>
      <c r="S6" s="731">
        <f t="shared" si="3"/>
        <v>0</v>
      </c>
      <c r="T6" s="731">
        <f t="shared" si="3"/>
        <v>0</v>
      </c>
      <c r="U6" s="731">
        <f t="shared" si="3"/>
        <v>0</v>
      </c>
      <c r="V6" s="731">
        <f t="shared" si="3"/>
        <v>0</v>
      </c>
      <c r="W6" s="731">
        <f t="shared" si="3"/>
        <v>0</v>
      </c>
      <c r="X6" s="731">
        <f t="shared" si="3"/>
        <v>0</v>
      </c>
      <c r="Y6" s="732">
        <f t="shared" si="2"/>
        <v>12473099710</v>
      </c>
      <c r="Z6" s="732">
        <f t="shared" si="1"/>
        <v>12101784812</v>
      </c>
      <c r="AA6" s="732">
        <f t="shared" si="1"/>
        <v>10886056926</v>
      </c>
      <c r="AB6" s="732">
        <f t="shared" si="1"/>
        <v>10879563646</v>
      </c>
      <c r="AC6" s="725"/>
    </row>
    <row r="7" spans="1:30" ht="16.5" thickTop="1" thickBot="1" x14ac:dyDescent="0.3">
      <c r="A7" s="737">
        <v>2</v>
      </c>
      <c r="B7" s="738" t="s">
        <v>1345</v>
      </c>
      <c r="C7" s="738" t="s">
        <v>1350</v>
      </c>
      <c r="D7" s="738" t="s">
        <v>1345</v>
      </c>
      <c r="E7" s="739"/>
      <c r="F7" s="739"/>
      <c r="G7" s="739"/>
      <c r="H7" s="740" t="s">
        <v>1416</v>
      </c>
      <c r="I7" s="741">
        <v>73612188</v>
      </c>
      <c r="J7" s="741">
        <v>55293411</v>
      </c>
      <c r="K7" s="741">
        <v>45145761</v>
      </c>
      <c r="L7" s="741">
        <v>45145761</v>
      </c>
      <c r="M7" s="742"/>
      <c r="N7" s="742"/>
      <c r="O7" s="742"/>
      <c r="P7" s="742"/>
      <c r="Q7" s="742"/>
      <c r="R7" s="742"/>
      <c r="S7" s="742"/>
      <c r="T7" s="742"/>
      <c r="U7" s="742"/>
      <c r="V7" s="742"/>
      <c r="W7" s="742"/>
      <c r="X7" s="742"/>
      <c r="Y7" s="743">
        <f t="shared" si="2"/>
        <v>73612188</v>
      </c>
      <c r="Z7" s="743">
        <f t="shared" si="1"/>
        <v>55293411</v>
      </c>
      <c r="AA7" s="743">
        <f t="shared" si="1"/>
        <v>45145761</v>
      </c>
      <c r="AB7" s="743">
        <f t="shared" si="1"/>
        <v>45145761</v>
      </c>
      <c r="AC7" s="725"/>
    </row>
    <row r="8" spans="1:30" ht="16.5" thickTop="1" thickBot="1" x14ac:dyDescent="0.3">
      <c r="A8" s="737">
        <v>2</v>
      </c>
      <c r="B8" s="738" t="s">
        <v>1345</v>
      </c>
      <c r="C8" s="738" t="s">
        <v>1350</v>
      </c>
      <c r="D8" s="738" t="s">
        <v>1345</v>
      </c>
      <c r="E8" s="739"/>
      <c r="F8" s="739"/>
      <c r="G8" s="739"/>
      <c r="H8" s="740" t="s">
        <v>1417</v>
      </c>
      <c r="I8" s="741">
        <v>12333887522</v>
      </c>
      <c r="J8" s="741">
        <v>11980891401</v>
      </c>
      <c r="K8" s="741">
        <v>10790912108</v>
      </c>
      <c r="L8" s="741">
        <v>10784418828</v>
      </c>
      <c r="M8" s="744">
        <v>65600000</v>
      </c>
      <c r="N8" s="742">
        <v>65600000</v>
      </c>
      <c r="O8" s="742">
        <v>49999057</v>
      </c>
      <c r="P8" s="742">
        <v>49999057</v>
      </c>
      <c r="Q8" s="742"/>
      <c r="R8" s="742"/>
      <c r="S8" s="742"/>
      <c r="T8" s="742"/>
      <c r="U8" s="742"/>
      <c r="V8" s="742"/>
      <c r="W8" s="742"/>
      <c r="X8" s="742"/>
      <c r="Y8" s="743">
        <f t="shared" si="2"/>
        <v>12399487522</v>
      </c>
      <c r="Z8" s="743">
        <f t="shared" si="1"/>
        <v>12046491401</v>
      </c>
      <c r="AA8" s="743">
        <f t="shared" si="1"/>
        <v>10840911165</v>
      </c>
      <c r="AB8" s="743">
        <f t="shared" si="1"/>
        <v>10834417885</v>
      </c>
      <c r="AC8" s="725"/>
    </row>
    <row r="9" spans="1:30" s="746" customFormat="1" ht="16.5" thickTop="1" thickBot="1" x14ac:dyDescent="0.3">
      <c r="A9" s="734">
        <v>2</v>
      </c>
      <c r="B9" s="727" t="s">
        <v>1345</v>
      </c>
      <c r="C9" s="727" t="s">
        <v>1354</v>
      </c>
      <c r="D9" s="727"/>
      <c r="E9" s="727"/>
      <c r="F9" s="727"/>
      <c r="G9" s="727"/>
      <c r="H9" s="735" t="s">
        <v>1281</v>
      </c>
      <c r="I9" s="745">
        <v>1361771460</v>
      </c>
      <c r="J9" s="745">
        <v>677604240</v>
      </c>
      <c r="K9" s="745">
        <v>677604240</v>
      </c>
      <c r="L9" s="745">
        <v>623101334</v>
      </c>
      <c r="M9" s="745">
        <f t="shared" ref="M9:X9" si="4">+M10+M17+M22</f>
        <v>0</v>
      </c>
      <c r="N9" s="745">
        <f t="shared" si="4"/>
        <v>0</v>
      </c>
      <c r="O9" s="745">
        <f t="shared" si="4"/>
        <v>0</v>
      </c>
      <c r="P9" s="745">
        <f t="shared" si="4"/>
        <v>0</v>
      </c>
      <c r="Q9" s="745">
        <f t="shared" si="4"/>
        <v>0</v>
      </c>
      <c r="R9" s="745">
        <f t="shared" si="4"/>
        <v>0</v>
      </c>
      <c r="S9" s="745">
        <f t="shared" si="4"/>
        <v>0</v>
      </c>
      <c r="T9" s="745">
        <f t="shared" si="4"/>
        <v>0</v>
      </c>
      <c r="U9" s="745">
        <f t="shared" si="4"/>
        <v>0</v>
      </c>
      <c r="V9" s="745">
        <f t="shared" si="4"/>
        <v>0</v>
      </c>
      <c r="W9" s="745">
        <f t="shared" si="4"/>
        <v>0</v>
      </c>
      <c r="X9" s="745">
        <f t="shared" si="4"/>
        <v>0</v>
      </c>
      <c r="Y9" s="745">
        <f>+I9+M9+Q9+U9</f>
        <v>1361771460</v>
      </c>
      <c r="Z9" s="745">
        <f>+J9+N9+R9+V9</f>
        <v>677604240</v>
      </c>
      <c r="AA9" s="745">
        <f>+K9+O9+S9+W9</f>
        <v>677604240</v>
      </c>
      <c r="AB9" s="745">
        <f>+L9+P9+T9+X9</f>
        <v>623101334</v>
      </c>
      <c r="AC9" s="725"/>
    </row>
    <row r="10" spans="1:30" s="746" customFormat="1" ht="16.5" thickTop="1" thickBot="1" x14ac:dyDescent="0.3">
      <c r="A10" s="747">
        <v>2</v>
      </c>
      <c r="B10" s="748" t="s">
        <v>1345</v>
      </c>
      <c r="C10" s="748" t="s">
        <v>1354</v>
      </c>
      <c r="D10" s="748" t="s">
        <v>1345</v>
      </c>
      <c r="E10" s="748"/>
      <c r="F10" s="748"/>
      <c r="G10" s="748"/>
      <c r="H10" s="749" t="s">
        <v>1418</v>
      </c>
      <c r="I10" s="750">
        <f>+I11+I15</f>
        <v>1197988447</v>
      </c>
      <c r="J10" s="750">
        <f t="shared" ref="J10:X10" si="5">+J11+J15</f>
        <v>592103127</v>
      </c>
      <c r="K10" s="750">
        <f t="shared" si="5"/>
        <v>592103127</v>
      </c>
      <c r="L10" s="750">
        <f t="shared" si="5"/>
        <v>592103127</v>
      </c>
      <c r="M10" s="751">
        <f t="shared" si="5"/>
        <v>0</v>
      </c>
      <c r="N10" s="751">
        <f t="shared" si="5"/>
        <v>0</v>
      </c>
      <c r="O10" s="751">
        <f t="shared" si="5"/>
        <v>0</v>
      </c>
      <c r="P10" s="751">
        <f t="shared" si="5"/>
        <v>0</v>
      </c>
      <c r="Q10" s="751">
        <f t="shared" si="5"/>
        <v>0</v>
      </c>
      <c r="R10" s="751">
        <f t="shared" si="5"/>
        <v>0</v>
      </c>
      <c r="S10" s="751">
        <f t="shared" si="5"/>
        <v>0</v>
      </c>
      <c r="T10" s="751">
        <f t="shared" si="5"/>
        <v>0</v>
      </c>
      <c r="U10" s="751">
        <f t="shared" si="5"/>
        <v>0</v>
      </c>
      <c r="V10" s="751">
        <f t="shared" si="5"/>
        <v>0</v>
      </c>
      <c r="W10" s="751">
        <f t="shared" si="5"/>
        <v>0</v>
      </c>
      <c r="X10" s="751">
        <f t="shared" si="5"/>
        <v>0</v>
      </c>
      <c r="Y10" s="752">
        <f t="shared" si="2"/>
        <v>1197988447</v>
      </c>
      <c r="Z10" s="752">
        <f t="shared" si="1"/>
        <v>592103127</v>
      </c>
      <c r="AA10" s="752">
        <f t="shared" si="1"/>
        <v>592103127</v>
      </c>
      <c r="AB10" s="752">
        <f t="shared" si="1"/>
        <v>592103127</v>
      </c>
      <c r="AC10" s="725"/>
    </row>
    <row r="11" spans="1:30" s="757" customFormat="1" ht="16.5" thickTop="1" thickBot="1" x14ac:dyDescent="0.3">
      <c r="A11" s="737"/>
      <c r="B11" s="738" t="s">
        <v>1345</v>
      </c>
      <c r="C11" s="738" t="s">
        <v>1354</v>
      </c>
      <c r="D11" s="738" t="s">
        <v>1345</v>
      </c>
      <c r="E11" s="738" t="s">
        <v>1345</v>
      </c>
      <c r="F11" s="738"/>
      <c r="G11" s="738"/>
      <c r="H11" s="753" t="s">
        <v>1419</v>
      </c>
      <c r="I11" s="754">
        <f>+I12</f>
        <v>1175611498</v>
      </c>
      <c r="J11" s="754">
        <f t="shared" ref="J11:X11" si="6">+J12</f>
        <v>569726178</v>
      </c>
      <c r="K11" s="754">
        <f t="shared" si="6"/>
        <v>569726178</v>
      </c>
      <c r="L11" s="754">
        <f t="shared" si="6"/>
        <v>569726178</v>
      </c>
      <c r="M11" s="755">
        <f t="shared" si="6"/>
        <v>0</v>
      </c>
      <c r="N11" s="755">
        <f t="shared" si="6"/>
        <v>0</v>
      </c>
      <c r="O11" s="755">
        <f t="shared" si="6"/>
        <v>0</v>
      </c>
      <c r="P11" s="755">
        <f t="shared" si="6"/>
        <v>0</v>
      </c>
      <c r="Q11" s="755">
        <f t="shared" si="6"/>
        <v>0</v>
      </c>
      <c r="R11" s="755">
        <f t="shared" si="6"/>
        <v>0</v>
      </c>
      <c r="S11" s="755">
        <f t="shared" si="6"/>
        <v>0</v>
      </c>
      <c r="T11" s="755">
        <f t="shared" si="6"/>
        <v>0</v>
      </c>
      <c r="U11" s="755">
        <f t="shared" si="6"/>
        <v>0</v>
      </c>
      <c r="V11" s="755">
        <f t="shared" si="6"/>
        <v>0</v>
      </c>
      <c r="W11" s="755">
        <f t="shared" si="6"/>
        <v>0</v>
      </c>
      <c r="X11" s="755">
        <f t="shared" si="6"/>
        <v>0</v>
      </c>
      <c r="Y11" s="756">
        <f t="shared" si="2"/>
        <v>1175611498</v>
      </c>
      <c r="Z11" s="756">
        <f t="shared" si="1"/>
        <v>569726178</v>
      </c>
      <c r="AA11" s="756">
        <f t="shared" si="1"/>
        <v>569726178</v>
      </c>
      <c r="AB11" s="756">
        <f t="shared" si="1"/>
        <v>569726178</v>
      </c>
      <c r="AC11" s="725"/>
    </row>
    <row r="12" spans="1:30" ht="16.5" thickTop="1" thickBot="1" x14ac:dyDescent="0.3">
      <c r="A12" s="737">
        <v>2</v>
      </c>
      <c r="B12" s="738" t="s">
        <v>1345</v>
      </c>
      <c r="C12" s="738" t="s">
        <v>1354</v>
      </c>
      <c r="D12" s="738" t="s">
        <v>1345</v>
      </c>
      <c r="E12" s="738" t="s">
        <v>1345</v>
      </c>
      <c r="F12" s="738" t="s">
        <v>1345</v>
      </c>
      <c r="G12" s="739"/>
      <c r="H12" s="753" t="s">
        <v>1420</v>
      </c>
      <c r="I12" s="754">
        <f>+I13+I14</f>
        <v>1175611498</v>
      </c>
      <c r="J12" s="758">
        <f t="shared" ref="J12:X12" si="7">+J13+J14</f>
        <v>569726178</v>
      </c>
      <c r="K12" s="758">
        <f t="shared" si="7"/>
        <v>569726178</v>
      </c>
      <c r="L12" s="758">
        <f t="shared" si="7"/>
        <v>569726178</v>
      </c>
      <c r="M12" s="742">
        <f t="shared" si="7"/>
        <v>0</v>
      </c>
      <c r="N12" s="742">
        <f t="shared" si="7"/>
        <v>0</v>
      </c>
      <c r="O12" s="742">
        <f t="shared" si="7"/>
        <v>0</v>
      </c>
      <c r="P12" s="742">
        <f t="shared" si="7"/>
        <v>0</v>
      </c>
      <c r="Q12" s="742">
        <f t="shared" si="7"/>
        <v>0</v>
      </c>
      <c r="R12" s="742">
        <f t="shared" si="7"/>
        <v>0</v>
      </c>
      <c r="S12" s="742">
        <f t="shared" si="7"/>
        <v>0</v>
      </c>
      <c r="T12" s="742">
        <f t="shared" si="7"/>
        <v>0</v>
      </c>
      <c r="U12" s="742">
        <f t="shared" si="7"/>
        <v>0</v>
      </c>
      <c r="V12" s="742">
        <f t="shared" si="7"/>
        <v>0</v>
      </c>
      <c r="W12" s="742">
        <f t="shared" si="7"/>
        <v>0</v>
      </c>
      <c r="X12" s="742">
        <f t="shared" si="7"/>
        <v>0</v>
      </c>
      <c r="Y12" s="743">
        <f t="shared" si="2"/>
        <v>1175611498</v>
      </c>
      <c r="Z12" s="743">
        <f t="shared" si="1"/>
        <v>569726178</v>
      </c>
      <c r="AA12" s="743">
        <f t="shared" si="1"/>
        <v>569726178</v>
      </c>
      <c r="AB12" s="743">
        <f t="shared" si="1"/>
        <v>569726178</v>
      </c>
      <c r="AC12" s="725"/>
    </row>
    <row r="13" spans="1:30" ht="16.5" thickTop="1" thickBot="1" x14ac:dyDescent="0.3">
      <c r="A13" s="737">
        <v>2</v>
      </c>
      <c r="B13" s="738" t="s">
        <v>1345</v>
      </c>
      <c r="C13" s="738" t="s">
        <v>1354</v>
      </c>
      <c r="D13" s="738" t="s">
        <v>1345</v>
      </c>
      <c r="E13" s="738" t="s">
        <v>1345</v>
      </c>
      <c r="F13" s="738" t="s">
        <v>1345</v>
      </c>
      <c r="G13" s="738" t="s">
        <v>1345</v>
      </c>
      <c r="H13" s="740" t="s">
        <v>1421</v>
      </c>
      <c r="I13" s="741">
        <f>180517871+42555067</f>
        <v>223072938</v>
      </c>
      <c r="J13" s="741">
        <v>218613428</v>
      </c>
      <c r="K13" s="741">
        <v>218613428</v>
      </c>
      <c r="L13" s="741">
        <v>218613428</v>
      </c>
      <c r="M13" s="742"/>
      <c r="N13" s="742"/>
      <c r="O13" s="742"/>
      <c r="P13" s="742"/>
      <c r="Q13" s="742"/>
      <c r="R13" s="742"/>
      <c r="S13" s="742"/>
      <c r="T13" s="742"/>
      <c r="U13" s="742"/>
      <c r="V13" s="742"/>
      <c r="W13" s="742"/>
      <c r="X13" s="742"/>
      <c r="Y13" s="743">
        <f t="shared" si="2"/>
        <v>223072938</v>
      </c>
      <c r="Z13" s="743">
        <f t="shared" si="1"/>
        <v>218613428</v>
      </c>
      <c r="AA13" s="743">
        <f t="shared" si="1"/>
        <v>218613428</v>
      </c>
      <c r="AB13" s="743">
        <f t="shared" si="1"/>
        <v>218613428</v>
      </c>
      <c r="AC13" s="725"/>
    </row>
    <row r="14" spans="1:30" ht="16.5" thickTop="1" thickBot="1" x14ac:dyDescent="0.3">
      <c r="A14" s="737">
        <v>2</v>
      </c>
      <c r="B14" s="738" t="s">
        <v>1345</v>
      </c>
      <c r="C14" s="738" t="s">
        <v>1354</v>
      </c>
      <c r="D14" s="738" t="s">
        <v>1345</v>
      </c>
      <c r="E14" s="738" t="s">
        <v>1345</v>
      </c>
      <c r="F14" s="738" t="s">
        <v>1345</v>
      </c>
      <c r="G14" s="738" t="s">
        <v>1350</v>
      </c>
      <c r="H14" s="740" t="s">
        <v>1422</v>
      </c>
      <c r="I14" s="741">
        <v>952538560</v>
      </c>
      <c r="J14" s="741">
        <v>351112750</v>
      </c>
      <c r="K14" s="741">
        <v>351112750</v>
      </c>
      <c r="L14" s="741">
        <v>351112750</v>
      </c>
      <c r="M14" s="742"/>
      <c r="N14" s="742"/>
      <c r="O14" s="742"/>
      <c r="P14" s="742"/>
      <c r="Q14" s="742"/>
      <c r="R14" s="742"/>
      <c r="S14" s="742"/>
      <c r="T14" s="742"/>
      <c r="U14" s="742"/>
      <c r="V14" s="742"/>
      <c r="W14" s="742"/>
      <c r="X14" s="742"/>
      <c r="Y14" s="743">
        <f t="shared" si="2"/>
        <v>952538560</v>
      </c>
      <c r="Z14" s="743">
        <f t="shared" si="1"/>
        <v>351112750</v>
      </c>
      <c r="AA14" s="743">
        <f t="shared" si="1"/>
        <v>351112750</v>
      </c>
      <c r="AB14" s="743">
        <f t="shared" si="1"/>
        <v>351112750</v>
      </c>
      <c r="AC14" s="725"/>
    </row>
    <row r="15" spans="1:30" ht="16.5" thickTop="1" thickBot="1" x14ac:dyDescent="0.3">
      <c r="A15" s="737">
        <v>2</v>
      </c>
      <c r="B15" s="738" t="s">
        <v>1345</v>
      </c>
      <c r="C15" s="738" t="s">
        <v>1354</v>
      </c>
      <c r="D15" s="738" t="s">
        <v>1345</v>
      </c>
      <c r="E15" s="738" t="s">
        <v>1350</v>
      </c>
      <c r="F15" s="739"/>
      <c r="G15" s="739"/>
      <c r="H15" s="753" t="s">
        <v>1423</v>
      </c>
      <c r="I15" s="759">
        <f>+I16</f>
        <v>22376949</v>
      </c>
      <c r="J15" s="759">
        <f t="shared" ref="J15:X15" si="8">+J16</f>
        <v>22376949</v>
      </c>
      <c r="K15" s="759">
        <f t="shared" si="8"/>
        <v>22376949</v>
      </c>
      <c r="L15" s="759">
        <f t="shared" si="8"/>
        <v>22376949</v>
      </c>
      <c r="M15" s="742">
        <f t="shared" si="8"/>
        <v>0</v>
      </c>
      <c r="N15" s="742">
        <f t="shared" si="8"/>
        <v>0</v>
      </c>
      <c r="O15" s="742">
        <f t="shared" si="8"/>
        <v>0</v>
      </c>
      <c r="P15" s="742">
        <f t="shared" si="8"/>
        <v>0</v>
      </c>
      <c r="Q15" s="742">
        <f t="shared" si="8"/>
        <v>0</v>
      </c>
      <c r="R15" s="742">
        <f t="shared" si="8"/>
        <v>0</v>
      </c>
      <c r="S15" s="742">
        <f t="shared" si="8"/>
        <v>0</v>
      </c>
      <c r="T15" s="742">
        <f t="shared" si="8"/>
        <v>0</v>
      </c>
      <c r="U15" s="742">
        <f t="shared" si="8"/>
        <v>0</v>
      </c>
      <c r="V15" s="742">
        <f t="shared" si="8"/>
        <v>0</v>
      </c>
      <c r="W15" s="742">
        <f t="shared" si="8"/>
        <v>0</v>
      </c>
      <c r="X15" s="742">
        <f t="shared" si="8"/>
        <v>0</v>
      </c>
      <c r="Y15" s="743">
        <f t="shared" si="2"/>
        <v>22376949</v>
      </c>
      <c r="Z15" s="743">
        <f t="shared" si="1"/>
        <v>22376949</v>
      </c>
      <c r="AA15" s="743">
        <f t="shared" si="1"/>
        <v>22376949</v>
      </c>
      <c r="AB15" s="743">
        <f t="shared" si="1"/>
        <v>22376949</v>
      </c>
      <c r="AC15" s="725"/>
    </row>
    <row r="16" spans="1:30" ht="16.5" thickTop="1" thickBot="1" x14ac:dyDescent="0.3">
      <c r="A16" s="737">
        <v>2</v>
      </c>
      <c r="B16" s="738" t="s">
        <v>1345</v>
      </c>
      <c r="C16" s="738" t="s">
        <v>1354</v>
      </c>
      <c r="D16" s="738" t="s">
        <v>1345</v>
      </c>
      <c r="E16" s="738" t="s">
        <v>1350</v>
      </c>
      <c r="F16" s="738" t="s">
        <v>1345</v>
      </c>
      <c r="G16" s="738"/>
      <c r="H16" s="740" t="s">
        <v>1424</v>
      </c>
      <c r="I16" s="744">
        <v>22376949</v>
      </c>
      <c r="J16" s="744">
        <v>22376949</v>
      </c>
      <c r="K16" s="744">
        <v>22376949</v>
      </c>
      <c r="L16" s="744">
        <v>22376949</v>
      </c>
      <c r="M16" s="742"/>
      <c r="N16" s="742"/>
      <c r="O16" s="742"/>
      <c r="P16" s="742"/>
      <c r="Q16" s="742"/>
      <c r="R16" s="742"/>
      <c r="S16" s="742"/>
      <c r="T16" s="742"/>
      <c r="U16" s="742"/>
      <c r="V16" s="742"/>
      <c r="W16" s="742"/>
      <c r="X16" s="742"/>
      <c r="Y16" s="743">
        <f t="shared" si="2"/>
        <v>22376949</v>
      </c>
      <c r="Z16" s="743">
        <f t="shared" si="1"/>
        <v>22376949</v>
      </c>
      <c r="AA16" s="743">
        <f t="shared" si="1"/>
        <v>22376949</v>
      </c>
      <c r="AB16" s="743">
        <f t="shared" si="1"/>
        <v>22376949</v>
      </c>
      <c r="AC16" s="725"/>
    </row>
    <row r="17" spans="1:29" s="746" customFormat="1" ht="16.5" thickTop="1" thickBot="1" x14ac:dyDescent="0.3">
      <c r="A17" s="747">
        <v>2</v>
      </c>
      <c r="B17" s="748" t="s">
        <v>1345</v>
      </c>
      <c r="C17" s="748" t="s">
        <v>1354</v>
      </c>
      <c r="D17" s="748" t="s">
        <v>1350</v>
      </c>
      <c r="E17" s="748"/>
      <c r="F17" s="748"/>
      <c r="G17" s="748"/>
      <c r="H17" s="749" t="s">
        <v>1425</v>
      </c>
      <c r="I17" s="750">
        <f>+I18</f>
        <v>101127679</v>
      </c>
      <c r="J17" s="751">
        <f t="shared" ref="J17:X17" si="9">+J18</f>
        <v>58563362</v>
      </c>
      <c r="K17" s="751">
        <f t="shared" si="9"/>
        <v>58563362</v>
      </c>
      <c r="L17" s="751">
        <f t="shared" si="9"/>
        <v>58563362</v>
      </c>
      <c r="M17" s="751">
        <f t="shared" si="9"/>
        <v>0</v>
      </c>
      <c r="N17" s="751">
        <f t="shared" si="9"/>
        <v>0</v>
      </c>
      <c r="O17" s="751">
        <f t="shared" si="9"/>
        <v>0</v>
      </c>
      <c r="P17" s="751">
        <f t="shared" si="9"/>
        <v>0</v>
      </c>
      <c r="Q17" s="751">
        <f t="shared" si="9"/>
        <v>0</v>
      </c>
      <c r="R17" s="751">
        <f t="shared" si="9"/>
        <v>0</v>
      </c>
      <c r="S17" s="751">
        <f t="shared" si="9"/>
        <v>0</v>
      </c>
      <c r="T17" s="751">
        <f t="shared" si="9"/>
        <v>0</v>
      </c>
      <c r="U17" s="751">
        <f t="shared" si="9"/>
        <v>0</v>
      </c>
      <c r="V17" s="751">
        <f t="shared" si="9"/>
        <v>0</v>
      </c>
      <c r="W17" s="751">
        <f t="shared" si="9"/>
        <v>0</v>
      </c>
      <c r="X17" s="751">
        <f t="shared" si="9"/>
        <v>0</v>
      </c>
      <c r="Y17" s="752">
        <f t="shared" si="2"/>
        <v>101127679</v>
      </c>
      <c r="Z17" s="752">
        <f t="shared" si="1"/>
        <v>58563362</v>
      </c>
      <c r="AA17" s="752">
        <f t="shared" si="1"/>
        <v>58563362</v>
      </c>
      <c r="AB17" s="752">
        <f t="shared" si="1"/>
        <v>58563362</v>
      </c>
      <c r="AC17" s="725"/>
    </row>
    <row r="18" spans="1:29" ht="16.5" thickTop="1" thickBot="1" x14ac:dyDescent="0.3">
      <c r="A18" s="737">
        <v>2</v>
      </c>
      <c r="B18" s="738" t="s">
        <v>1345</v>
      </c>
      <c r="C18" s="738" t="s">
        <v>1354</v>
      </c>
      <c r="D18" s="738" t="s">
        <v>1350</v>
      </c>
      <c r="E18" s="738" t="s">
        <v>1345</v>
      </c>
      <c r="F18" s="738"/>
      <c r="G18" s="738"/>
      <c r="H18" s="753" t="s">
        <v>1426</v>
      </c>
      <c r="I18" s="759">
        <v>101127679</v>
      </c>
      <c r="J18" s="759">
        <v>58563362</v>
      </c>
      <c r="K18" s="759">
        <v>58563362</v>
      </c>
      <c r="L18" s="759">
        <v>58563362</v>
      </c>
      <c r="M18" s="759">
        <f t="shared" ref="M18:X18" si="10">+M19+M20+M21</f>
        <v>0</v>
      </c>
      <c r="N18" s="759">
        <f t="shared" si="10"/>
        <v>0</v>
      </c>
      <c r="O18" s="759">
        <f t="shared" si="10"/>
        <v>0</v>
      </c>
      <c r="P18" s="759">
        <f t="shared" si="10"/>
        <v>0</v>
      </c>
      <c r="Q18" s="759">
        <f t="shared" si="10"/>
        <v>0</v>
      </c>
      <c r="R18" s="759">
        <f t="shared" si="10"/>
        <v>0</v>
      </c>
      <c r="S18" s="759">
        <f t="shared" si="10"/>
        <v>0</v>
      </c>
      <c r="T18" s="759">
        <f t="shared" si="10"/>
        <v>0</v>
      </c>
      <c r="U18" s="759">
        <f t="shared" si="10"/>
        <v>0</v>
      </c>
      <c r="V18" s="759">
        <f t="shared" si="10"/>
        <v>0</v>
      </c>
      <c r="W18" s="759">
        <f t="shared" si="10"/>
        <v>0</v>
      </c>
      <c r="X18" s="759">
        <f t="shared" si="10"/>
        <v>0</v>
      </c>
      <c r="Y18" s="743">
        <f t="shared" si="2"/>
        <v>101127679</v>
      </c>
      <c r="Z18" s="743">
        <f t="shared" si="1"/>
        <v>58563362</v>
      </c>
      <c r="AA18" s="743">
        <f t="shared" si="1"/>
        <v>58563362</v>
      </c>
      <c r="AB18" s="743">
        <f t="shared" si="1"/>
        <v>58563362</v>
      </c>
      <c r="AC18" s="725"/>
    </row>
    <row r="19" spans="1:29" ht="16.5" thickTop="1" thickBot="1" x14ac:dyDescent="0.3">
      <c r="A19" s="737">
        <v>2</v>
      </c>
      <c r="B19" s="738" t="s">
        <v>1345</v>
      </c>
      <c r="C19" s="738" t="s">
        <v>1354</v>
      </c>
      <c r="D19" s="738" t="s">
        <v>1350</v>
      </c>
      <c r="E19" s="738" t="s">
        <v>1345</v>
      </c>
      <c r="F19" s="738" t="s">
        <v>1345</v>
      </c>
      <c r="G19" s="738"/>
      <c r="H19" s="740" t="s">
        <v>1427</v>
      </c>
      <c r="I19" s="744">
        <v>21840006</v>
      </c>
      <c r="J19" s="760">
        <v>17708275</v>
      </c>
      <c r="K19" s="760">
        <v>17708275</v>
      </c>
      <c r="L19" s="760">
        <v>17708275</v>
      </c>
      <c r="M19" s="742"/>
      <c r="N19" s="742"/>
      <c r="O19" s="742"/>
      <c r="P19" s="742"/>
      <c r="Q19" s="742"/>
      <c r="R19" s="742"/>
      <c r="S19" s="742"/>
      <c r="T19" s="742"/>
      <c r="U19" s="742"/>
      <c r="V19" s="742"/>
      <c r="W19" s="742"/>
      <c r="X19" s="742"/>
      <c r="Y19" s="743">
        <f t="shared" si="2"/>
        <v>21840006</v>
      </c>
      <c r="Z19" s="743">
        <f t="shared" si="1"/>
        <v>17708275</v>
      </c>
      <c r="AA19" s="743">
        <f t="shared" si="1"/>
        <v>17708275</v>
      </c>
      <c r="AB19" s="743">
        <f t="shared" si="1"/>
        <v>17708275</v>
      </c>
      <c r="AC19" s="725"/>
    </row>
    <row r="20" spans="1:29" ht="16.5" thickTop="1" thickBot="1" x14ac:dyDescent="0.3">
      <c r="A20" s="737">
        <v>2</v>
      </c>
      <c r="B20" s="738" t="s">
        <v>1345</v>
      </c>
      <c r="C20" s="738" t="s">
        <v>1354</v>
      </c>
      <c r="D20" s="738" t="s">
        <v>1350</v>
      </c>
      <c r="E20" s="738" t="s">
        <v>1345</v>
      </c>
      <c r="F20" s="738" t="s">
        <v>1350</v>
      </c>
      <c r="G20" s="738"/>
      <c r="H20" s="753" t="s">
        <v>1428</v>
      </c>
      <c r="I20" s="759">
        <v>0</v>
      </c>
      <c r="J20" s="742"/>
      <c r="K20" s="742"/>
      <c r="L20" s="742"/>
      <c r="M20" s="742"/>
      <c r="N20" s="742"/>
      <c r="O20" s="742"/>
      <c r="P20" s="742"/>
      <c r="Q20" s="742"/>
      <c r="R20" s="742"/>
      <c r="S20" s="742"/>
      <c r="T20" s="742"/>
      <c r="U20" s="742"/>
      <c r="V20" s="742"/>
      <c r="W20" s="742"/>
      <c r="X20" s="742"/>
      <c r="Y20" s="743">
        <f t="shared" si="2"/>
        <v>0</v>
      </c>
      <c r="Z20" s="743">
        <f t="shared" si="2"/>
        <v>0</v>
      </c>
      <c r="AA20" s="743">
        <f t="shared" si="2"/>
        <v>0</v>
      </c>
      <c r="AB20" s="743">
        <f t="shared" si="2"/>
        <v>0</v>
      </c>
      <c r="AC20" s="725"/>
    </row>
    <row r="21" spans="1:29" ht="16.5" thickTop="1" thickBot="1" x14ac:dyDescent="0.3">
      <c r="A21" s="737">
        <v>2</v>
      </c>
      <c r="B21" s="738" t="s">
        <v>1345</v>
      </c>
      <c r="C21" s="738" t="s">
        <v>1354</v>
      </c>
      <c r="D21" s="738" t="s">
        <v>1350</v>
      </c>
      <c r="E21" s="738" t="s">
        <v>1345</v>
      </c>
      <c r="F21" s="738" t="s">
        <v>1354</v>
      </c>
      <c r="G21" s="738"/>
      <c r="H21" s="761" t="s">
        <v>2514</v>
      </c>
      <c r="I21" s="744">
        <v>79287673</v>
      </c>
      <c r="J21" s="760">
        <v>40855087</v>
      </c>
      <c r="K21" s="760">
        <v>40855087</v>
      </c>
      <c r="L21" s="760">
        <v>40855087</v>
      </c>
      <c r="M21" s="742"/>
      <c r="N21" s="742"/>
      <c r="O21" s="742"/>
      <c r="P21" s="742"/>
      <c r="Q21" s="742"/>
      <c r="R21" s="742"/>
      <c r="S21" s="742"/>
      <c r="T21" s="742"/>
      <c r="U21" s="742"/>
      <c r="V21" s="742"/>
      <c r="W21" s="742"/>
      <c r="X21" s="742"/>
      <c r="Y21" s="743">
        <f t="shared" si="2"/>
        <v>79287673</v>
      </c>
      <c r="Z21" s="743">
        <f>+J21+N21+R21+V21</f>
        <v>40855087</v>
      </c>
      <c r="AA21" s="743">
        <f>+K21+O21+S21+W21</f>
        <v>40855087</v>
      </c>
      <c r="AB21" s="743">
        <f>+L21+P21+T21+X21</f>
        <v>40855087</v>
      </c>
      <c r="AC21" s="725"/>
    </row>
    <row r="22" spans="1:29" s="746" customFormat="1" ht="16.5" thickTop="1" thickBot="1" x14ac:dyDescent="0.3">
      <c r="A22" s="747">
        <v>2</v>
      </c>
      <c r="B22" s="748" t="s">
        <v>1345</v>
      </c>
      <c r="C22" s="748" t="s">
        <v>1354</v>
      </c>
      <c r="D22" s="748" t="s">
        <v>1354</v>
      </c>
      <c r="E22" s="748"/>
      <c r="F22" s="748"/>
      <c r="G22" s="748"/>
      <c r="H22" s="749" t="s">
        <v>1282</v>
      </c>
      <c r="I22" s="750">
        <f t="shared" ref="I22:X22" si="11">+I23+I24</f>
        <v>59543007</v>
      </c>
      <c r="J22" s="751">
        <f t="shared" si="11"/>
        <v>23825424</v>
      </c>
      <c r="K22" s="751">
        <f t="shared" si="11"/>
        <v>23825424</v>
      </c>
      <c r="L22" s="751">
        <f t="shared" si="11"/>
        <v>23825424</v>
      </c>
      <c r="M22" s="751">
        <f t="shared" si="11"/>
        <v>0</v>
      </c>
      <c r="N22" s="751">
        <f t="shared" si="11"/>
        <v>0</v>
      </c>
      <c r="O22" s="751">
        <f t="shared" si="11"/>
        <v>0</v>
      </c>
      <c r="P22" s="751">
        <f t="shared" si="11"/>
        <v>0</v>
      </c>
      <c r="Q22" s="751">
        <f t="shared" si="11"/>
        <v>0</v>
      </c>
      <c r="R22" s="751">
        <f t="shared" si="11"/>
        <v>0</v>
      </c>
      <c r="S22" s="751">
        <f t="shared" si="11"/>
        <v>0</v>
      </c>
      <c r="T22" s="751">
        <f t="shared" si="11"/>
        <v>0</v>
      </c>
      <c r="U22" s="751">
        <f t="shared" si="11"/>
        <v>0</v>
      </c>
      <c r="V22" s="751">
        <f t="shared" si="11"/>
        <v>0</v>
      </c>
      <c r="W22" s="751">
        <f t="shared" si="11"/>
        <v>0</v>
      </c>
      <c r="X22" s="751">
        <f t="shared" si="11"/>
        <v>0</v>
      </c>
      <c r="Y22" s="752">
        <f t="shared" si="2"/>
        <v>59543007</v>
      </c>
      <c r="Z22" s="752">
        <f t="shared" si="2"/>
        <v>23825424</v>
      </c>
      <c r="AA22" s="752">
        <f t="shared" si="2"/>
        <v>23825424</v>
      </c>
      <c r="AB22" s="752">
        <f t="shared" si="2"/>
        <v>23825424</v>
      </c>
      <c r="AC22" s="725"/>
    </row>
    <row r="23" spans="1:29" ht="16.5" thickTop="1" thickBot="1" x14ac:dyDescent="0.3">
      <c r="A23" s="737">
        <v>2</v>
      </c>
      <c r="B23" s="738" t="s">
        <v>1345</v>
      </c>
      <c r="C23" s="738" t="s">
        <v>1354</v>
      </c>
      <c r="D23" s="738" t="s">
        <v>1354</v>
      </c>
      <c r="E23" s="738" t="s">
        <v>1345</v>
      </c>
      <c r="F23" s="738"/>
      <c r="G23" s="738"/>
      <c r="H23" s="740" t="s">
        <v>2234</v>
      </c>
      <c r="I23" s="744">
        <v>5486997</v>
      </c>
      <c r="J23" s="742">
        <v>5486997</v>
      </c>
      <c r="K23" s="742">
        <v>5486997</v>
      </c>
      <c r="L23" s="742">
        <v>5486997</v>
      </c>
      <c r="M23" s="742"/>
      <c r="N23" s="742"/>
      <c r="O23" s="742"/>
      <c r="P23" s="742"/>
      <c r="Q23" s="742"/>
      <c r="R23" s="742"/>
      <c r="S23" s="742"/>
      <c r="T23" s="742"/>
      <c r="U23" s="742"/>
      <c r="V23" s="742"/>
      <c r="W23" s="742"/>
      <c r="X23" s="742"/>
      <c r="Y23" s="743">
        <f t="shared" si="2"/>
        <v>5486997</v>
      </c>
      <c r="Z23" s="743">
        <f t="shared" si="2"/>
        <v>5486997</v>
      </c>
      <c r="AA23" s="743">
        <f t="shared" si="2"/>
        <v>5486997</v>
      </c>
      <c r="AB23" s="743">
        <f t="shared" si="2"/>
        <v>5486997</v>
      </c>
      <c r="AC23" s="725"/>
    </row>
    <row r="24" spans="1:29" ht="16.5" thickTop="1" thickBot="1" x14ac:dyDescent="0.3">
      <c r="A24" s="737">
        <v>2</v>
      </c>
      <c r="B24" s="738" t="s">
        <v>1345</v>
      </c>
      <c r="C24" s="738" t="s">
        <v>1354</v>
      </c>
      <c r="D24" s="738" t="s">
        <v>1354</v>
      </c>
      <c r="E24" s="738" t="s">
        <v>1350</v>
      </c>
      <c r="F24" s="738"/>
      <c r="G24" s="738"/>
      <c r="H24" s="740" t="s">
        <v>2238</v>
      </c>
      <c r="I24" s="744">
        <v>54056010</v>
      </c>
      <c r="J24" s="742">
        <v>18338427</v>
      </c>
      <c r="K24" s="742">
        <v>18338427</v>
      </c>
      <c r="L24" s="742">
        <v>18338427</v>
      </c>
      <c r="M24" s="742"/>
      <c r="N24" s="742"/>
      <c r="O24" s="742"/>
      <c r="P24" s="742"/>
      <c r="Q24" s="742"/>
      <c r="R24" s="742"/>
      <c r="S24" s="742"/>
      <c r="T24" s="742"/>
      <c r="U24" s="742"/>
      <c r="V24" s="742"/>
      <c r="W24" s="742"/>
      <c r="X24" s="742"/>
      <c r="Y24" s="743">
        <f t="shared" si="2"/>
        <v>54056010</v>
      </c>
      <c r="Z24" s="743">
        <f t="shared" si="2"/>
        <v>18338427</v>
      </c>
      <c r="AA24" s="743">
        <f t="shared" si="2"/>
        <v>18338427</v>
      </c>
      <c r="AB24" s="743">
        <f t="shared" si="2"/>
        <v>18338427</v>
      </c>
      <c r="AC24" s="725"/>
    </row>
    <row r="25" spans="1:29" ht="16.5" thickTop="1" thickBot="1" x14ac:dyDescent="0.3">
      <c r="A25" s="737">
        <v>2</v>
      </c>
      <c r="B25" s="738" t="s">
        <v>1345</v>
      </c>
      <c r="C25" s="738" t="s">
        <v>1354</v>
      </c>
      <c r="D25" s="738" t="s">
        <v>1354</v>
      </c>
      <c r="E25" s="738" t="s">
        <v>1354</v>
      </c>
      <c r="F25" s="738"/>
      <c r="G25" s="738"/>
      <c r="H25" s="753" t="s">
        <v>1429</v>
      </c>
      <c r="I25" s="759"/>
      <c r="J25" s="742"/>
      <c r="K25" s="742"/>
      <c r="L25" s="742"/>
      <c r="M25" s="742"/>
      <c r="N25" s="742"/>
      <c r="O25" s="742"/>
      <c r="P25" s="742"/>
      <c r="Q25" s="742"/>
      <c r="R25" s="742"/>
      <c r="S25" s="742"/>
      <c r="T25" s="742"/>
      <c r="U25" s="742"/>
      <c r="V25" s="742"/>
      <c r="W25" s="742"/>
      <c r="X25" s="742"/>
      <c r="Y25" s="743">
        <f>+I25+M25+Q25+U25</f>
        <v>0</v>
      </c>
      <c r="Z25" s="743">
        <f>+J25+N25+R25+V25</f>
        <v>0</v>
      </c>
      <c r="AA25" s="743">
        <f>+K25+O25+S25+W25</f>
        <v>0</v>
      </c>
      <c r="AB25" s="743">
        <f>+L25+P25+T25+X25</f>
        <v>0</v>
      </c>
      <c r="AC25" s="725"/>
    </row>
    <row r="26" spans="1:29" ht="16.5" thickTop="1" thickBot="1" x14ac:dyDescent="0.3">
      <c r="A26" s="734">
        <v>2</v>
      </c>
      <c r="B26" s="727" t="s">
        <v>1345</v>
      </c>
      <c r="C26" s="727" t="s">
        <v>1354</v>
      </c>
      <c r="D26" s="727"/>
      <c r="E26" s="727"/>
      <c r="F26" s="727"/>
      <c r="G26" s="727"/>
      <c r="H26" s="735" t="s">
        <v>1430</v>
      </c>
      <c r="I26" s="745">
        <f t="shared" ref="I26:X26" si="12">+I27+I31+I33+I35</f>
        <v>125334803</v>
      </c>
      <c r="J26" s="745">
        <f t="shared" si="12"/>
        <v>113448215</v>
      </c>
      <c r="K26" s="745">
        <f t="shared" si="12"/>
        <v>113448215</v>
      </c>
      <c r="L26" s="745">
        <f t="shared" si="12"/>
        <v>113448215</v>
      </c>
      <c r="M26" s="745">
        <f t="shared" si="12"/>
        <v>18800000</v>
      </c>
      <c r="N26" s="745">
        <f t="shared" si="12"/>
        <v>18800000</v>
      </c>
      <c r="O26" s="745">
        <f t="shared" si="12"/>
        <v>18800000</v>
      </c>
      <c r="P26" s="745">
        <f t="shared" si="12"/>
        <v>18800000</v>
      </c>
      <c r="Q26" s="731">
        <f t="shared" si="12"/>
        <v>0</v>
      </c>
      <c r="R26" s="731">
        <f t="shared" si="12"/>
        <v>0</v>
      </c>
      <c r="S26" s="731">
        <f t="shared" si="12"/>
        <v>0</v>
      </c>
      <c r="T26" s="731">
        <f t="shared" si="12"/>
        <v>0</v>
      </c>
      <c r="U26" s="731">
        <f t="shared" si="12"/>
        <v>0</v>
      </c>
      <c r="V26" s="731">
        <f t="shared" si="12"/>
        <v>0</v>
      </c>
      <c r="W26" s="731">
        <f t="shared" si="12"/>
        <v>0</v>
      </c>
      <c r="X26" s="731">
        <f t="shared" si="12"/>
        <v>0</v>
      </c>
      <c r="Y26" s="732">
        <f t="shared" si="2"/>
        <v>144134803</v>
      </c>
      <c r="Z26" s="732">
        <f t="shared" si="2"/>
        <v>132248215</v>
      </c>
      <c r="AA26" s="732">
        <f t="shared" si="2"/>
        <v>132248215</v>
      </c>
      <c r="AB26" s="732">
        <f t="shared" si="2"/>
        <v>132248215</v>
      </c>
      <c r="AC26" s="725"/>
    </row>
    <row r="27" spans="1:29" s="746" customFormat="1" ht="16.5" thickTop="1" thickBot="1" x14ac:dyDescent="0.3">
      <c r="A27" s="747">
        <v>2</v>
      </c>
      <c r="B27" s="748" t="s">
        <v>1345</v>
      </c>
      <c r="C27" s="748" t="s">
        <v>1355</v>
      </c>
      <c r="D27" s="748" t="s">
        <v>1345</v>
      </c>
      <c r="E27" s="748"/>
      <c r="F27" s="748"/>
      <c r="G27" s="748"/>
      <c r="H27" s="749" t="s">
        <v>1431</v>
      </c>
      <c r="I27" s="750">
        <f>+I28</f>
        <v>32582803</v>
      </c>
      <c r="J27" s="750">
        <f t="shared" ref="J27:X27" si="13">+J28</f>
        <v>25099818</v>
      </c>
      <c r="K27" s="750">
        <f t="shared" si="13"/>
        <v>25099818</v>
      </c>
      <c r="L27" s="750">
        <f t="shared" si="13"/>
        <v>25099818</v>
      </c>
      <c r="M27" s="750">
        <f t="shared" si="13"/>
        <v>3000000</v>
      </c>
      <c r="N27" s="750">
        <f t="shared" si="13"/>
        <v>3000000</v>
      </c>
      <c r="O27" s="750">
        <f t="shared" si="13"/>
        <v>3000000</v>
      </c>
      <c r="P27" s="750">
        <f t="shared" si="13"/>
        <v>3000000</v>
      </c>
      <c r="Q27" s="751">
        <f t="shared" si="13"/>
        <v>0</v>
      </c>
      <c r="R27" s="751">
        <f t="shared" si="13"/>
        <v>0</v>
      </c>
      <c r="S27" s="751">
        <f t="shared" si="13"/>
        <v>0</v>
      </c>
      <c r="T27" s="751">
        <f t="shared" si="13"/>
        <v>0</v>
      </c>
      <c r="U27" s="751">
        <f t="shared" si="13"/>
        <v>0</v>
      </c>
      <c r="V27" s="751">
        <f t="shared" si="13"/>
        <v>0</v>
      </c>
      <c r="W27" s="751">
        <f t="shared" si="13"/>
        <v>0</v>
      </c>
      <c r="X27" s="751">
        <f t="shared" si="13"/>
        <v>0</v>
      </c>
      <c r="Y27" s="752">
        <f t="shared" si="2"/>
        <v>35582803</v>
      </c>
      <c r="Z27" s="752">
        <f t="shared" si="2"/>
        <v>28099818</v>
      </c>
      <c r="AA27" s="752">
        <f t="shared" si="2"/>
        <v>28099818</v>
      </c>
      <c r="AB27" s="752">
        <f t="shared" si="2"/>
        <v>28099818</v>
      </c>
      <c r="AC27" s="725"/>
    </row>
    <row r="28" spans="1:29" ht="16.5" thickTop="1" thickBot="1" x14ac:dyDescent="0.3">
      <c r="A28" s="762">
        <v>2</v>
      </c>
      <c r="B28" s="739" t="s">
        <v>1345</v>
      </c>
      <c r="C28" s="739" t="s">
        <v>1355</v>
      </c>
      <c r="D28" s="739" t="s">
        <v>1345</v>
      </c>
      <c r="E28" s="739" t="s">
        <v>1345</v>
      </c>
      <c r="F28" s="739"/>
      <c r="G28" s="739"/>
      <c r="H28" s="763" t="s">
        <v>1432</v>
      </c>
      <c r="I28" s="764">
        <f>+I29+I30</f>
        <v>32582803</v>
      </c>
      <c r="J28" s="764">
        <f t="shared" ref="J28:X28" si="14">+J29+J30</f>
        <v>25099818</v>
      </c>
      <c r="K28" s="764">
        <f t="shared" si="14"/>
        <v>25099818</v>
      </c>
      <c r="L28" s="764">
        <f t="shared" si="14"/>
        <v>25099818</v>
      </c>
      <c r="M28" s="764">
        <f t="shared" si="14"/>
        <v>3000000</v>
      </c>
      <c r="N28" s="764">
        <f t="shared" si="14"/>
        <v>3000000</v>
      </c>
      <c r="O28" s="764">
        <f t="shared" si="14"/>
        <v>3000000</v>
      </c>
      <c r="P28" s="764">
        <f t="shared" si="14"/>
        <v>3000000</v>
      </c>
      <c r="Q28" s="765">
        <f t="shared" si="14"/>
        <v>0</v>
      </c>
      <c r="R28" s="765">
        <f t="shared" si="14"/>
        <v>0</v>
      </c>
      <c r="S28" s="765">
        <f t="shared" si="14"/>
        <v>0</v>
      </c>
      <c r="T28" s="765">
        <f t="shared" si="14"/>
        <v>0</v>
      </c>
      <c r="U28" s="765">
        <f t="shared" si="14"/>
        <v>0</v>
      </c>
      <c r="V28" s="765">
        <f t="shared" si="14"/>
        <v>0</v>
      </c>
      <c r="W28" s="765">
        <f t="shared" si="14"/>
        <v>0</v>
      </c>
      <c r="X28" s="765">
        <f t="shared" si="14"/>
        <v>0</v>
      </c>
      <c r="Y28" s="766">
        <f t="shared" si="2"/>
        <v>35582803</v>
      </c>
      <c r="Z28" s="766">
        <f t="shared" si="2"/>
        <v>28099818</v>
      </c>
      <c r="AA28" s="766">
        <f t="shared" si="2"/>
        <v>28099818</v>
      </c>
      <c r="AB28" s="766">
        <f t="shared" si="2"/>
        <v>28099818</v>
      </c>
      <c r="AC28" s="725"/>
    </row>
    <row r="29" spans="1:29" s="757" customFormat="1" ht="16.5" thickTop="1" thickBot="1" x14ac:dyDescent="0.3">
      <c r="A29" s="737">
        <v>2</v>
      </c>
      <c r="B29" s="738" t="s">
        <v>1345</v>
      </c>
      <c r="C29" s="738" t="s">
        <v>1355</v>
      </c>
      <c r="D29" s="738" t="s">
        <v>1345</v>
      </c>
      <c r="E29" s="738" t="s">
        <v>1345</v>
      </c>
      <c r="F29" s="738" t="s">
        <v>1345</v>
      </c>
      <c r="G29" s="738"/>
      <c r="H29" s="740" t="s">
        <v>2515</v>
      </c>
      <c r="I29" s="744">
        <v>27961289</v>
      </c>
      <c r="J29" s="744">
        <v>24864818</v>
      </c>
      <c r="K29" s="744">
        <v>24864818</v>
      </c>
      <c r="L29" s="744">
        <v>24864818</v>
      </c>
      <c r="M29" s="744">
        <v>3000000</v>
      </c>
      <c r="N29" s="744">
        <v>3000000</v>
      </c>
      <c r="O29" s="760">
        <v>3000000</v>
      </c>
      <c r="P29" s="760">
        <v>3000000</v>
      </c>
      <c r="Q29" s="755"/>
      <c r="R29" s="755"/>
      <c r="S29" s="755"/>
      <c r="T29" s="755"/>
      <c r="U29" s="755"/>
      <c r="V29" s="755"/>
      <c r="W29" s="755"/>
      <c r="X29" s="755"/>
      <c r="Y29" s="756">
        <f t="shared" si="2"/>
        <v>30961289</v>
      </c>
      <c r="Z29" s="756">
        <f t="shared" si="2"/>
        <v>27864818</v>
      </c>
      <c r="AA29" s="756">
        <f t="shared" si="2"/>
        <v>27864818</v>
      </c>
      <c r="AB29" s="756">
        <f t="shared" si="2"/>
        <v>27864818</v>
      </c>
      <c r="AC29" s="725"/>
    </row>
    <row r="30" spans="1:29" s="757" customFormat="1" ht="16.5" thickTop="1" thickBot="1" x14ac:dyDescent="0.3">
      <c r="A30" s="737">
        <v>2</v>
      </c>
      <c r="B30" s="738" t="s">
        <v>1345</v>
      </c>
      <c r="C30" s="738" t="s">
        <v>1355</v>
      </c>
      <c r="D30" s="738" t="s">
        <v>1345</v>
      </c>
      <c r="E30" s="738" t="s">
        <v>1345</v>
      </c>
      <c r="F30" s="738" t="s">
        <v>1350</v>
      </c>
      <c r="G30" s="738"/>
      <c r="H30" s="740" t="s">
        <v>1433</v>
      </c>
      <c r="I30" s="744">
        <v>4621514</v>
      </c>
      <c r="J30" s="760">
        <v>235000</v>
      </c>
      <c r="K30" s="760">
        <v>235000</v>
      </c>
      <c r="L30" s="760">
        <v>235000</v>
      </c>
      <c r="M30" s="755"/>
      <c r="N30" s="755"/>
      <c r="O30" s="755"/>
      <c r="P30" s="755"/>
      <c r="Q30" s="755"/>
      <c r="R30" s="755"/>
      <c r="S30" s="755"/>
      <c r="T30" s="755"/>
      <c r="U30" s="755"/>
      <c r="V30" s="755"/>
      <c r="W30" s="755"/>
      <c r="X30" s="755"/>
      <c r="Y30" s="756">
        <f t="shared" si="2"/>
        <v>4621514</v>
      </c>
      <c r="Z30" s="756">
        <f t="shared" si="2"/>
        <v>235000</v>
      </c>
      <c r="AA30" s="756">
        <f t="shared" si="2"/>
        <v>235000</v>
      </c>
      <c r="AB30" s="756">
        <f t="shared" si="2"/>
        <v>235000</v>
      </c>
      <c r="AC30" s="725"/>
    </row>
    <row r="31" spans="1:29" s="746" customFormat="1" ht="16.5" thickTop="1" thickBot="1" x14ac:dyDescent="0.3">
      <c r="A31" s="747">
        <v>2</v>
      </c>
      <c r="B31" s="748" t="s">
        <v>1345</v>
      </c>
      <c r="C31" s="748" t="s">
        <v>1355</v>
      </c>
      <c r="D31" s="748" t="s">
        <v>1350</v>
      </c>
      <c r="E31" s="748"/>
      <c r="F31" s="748"/>
      <c r="G31" s="748"/>
      <c r="H31" s="749" t="s">
        <v>1434</v>
      </c>
      <c r="I31" s="750">
        <f>+I32</f>
        <v>0</v>
      </c>
      <c r="J31" s="751">
        <f t="shared" ref="J31:X31" si="15">+J32</f>
        <v>0</v>
      </c>
      <c r="K31" s="751">
        <f t="shared" si="15"/>
        <v>0</v>
      </c>
      <c r="L31" s="751">
        <f t="shared" si="15"/>
        <v>0</v>
      </c>
      <c r="M31" s="751">
        <f t="shared" si="15"/>
        <v>0</v>
      </c>
      <c r="N31" s="751">
        <f t="shared" si="15"/>
        <v>0</v>
      </c>
      <c r="O31" s="751">
        <f t="shared" si="15"/>
        <v>0</v>
      </c>
      <c r="P31" s="751">
        <f t="shared" si="15"/>
        <v>0</v>
      </c>
      <c r="Q31" s="751">
        <f t="shared" si="15"/>
        <v>0</v>
      </c>
      <c r="R31" s="751">
        <f t="shared" si="15"/>
        <v>0</v>
      </c>
      <c r="S31" s="751">
        <f t="shared" si="15"/>
        <v>0</v>
      </c>
      <c r="T31" s="751">
        <f t="shared" si="15"/>
        <v>0</v>
      </c>
      <c r="U31" s="751">
        <f t="shared" si="15"/>
        <v>0</v>
      </c>
      <c r="V31" s="751">
        <f t="shared" si="15"/>
        <v>0</v>
      </c>
      <c r="W31" s="751">
        <f t="shared" si="15"/>
        <v>0</v>
      </c>
      <c r="X31" s="751">
        <f t="shared" si="15"/>
        <v>0</v>
      </c>
      <c r="Y31" s="752">
        <f t="shared" si="2"/>
        <v>0</v>
      </c>
      <c r="Z31" s="752">
        <f t="shared" si="2"/>
        <v>0</v>
      </c>
      <c r="AA31" s="752">
        <f t="shared" si="2"/>
        <v>0</v>
      </c>
      <c r="AB31" s="752">
        <f t="shared" si="2"/>
        <v>0</v>
      </c>
      <c r="AC31" s="725"/>
    </row>
    <row r="32" spans="1:29" s="757" customFormat="1" ht="16.5" thickTop="1" thickBot="1" x14ac:dyDescent="0.3">
      <c r="A32" s="737">
        <v>2</v>
      </c>
      <c r="B32" s="738" t="s">
        <v>1345</v>
      </c>
      <c r="C32" s="738" t="s">
        <v>1355</v>
      </c>
      <c r="D32" s="738" t="s">
        <v>1350</v>
      </c>
      <c r="E32" s="738" t="s">
        <v>1345</v>
      </c>
      <c r="F32" s="738"/>
      <c r="G32" s="738"/>
      <c r="H32" s="753" t="s">
        <v>1435</v>
      </c>
      <c r="I32" s="767"/>
      <c r="J32" s="755"/>
      <c r="K32" s="755"/>
      <c r="L32" s="755"/>
      <c r="M32" s="755"/>
      <c r="N32" s="755"/>
      <c r="O32" s="755"/>
      <c r="P32" s="755"/>
      <c r="Q32" s="755"/>
      <c r="R32" s="755"/>
      <c r="S32" s="755"/>
      <c r="T32" s="755"/>
      <c r="U32" s="755"/>
      <c r="V32" s="755"/>
      <c r="W32" s="755"/>
      <c r="X32" s="755"/>
      <c r="Y32" s="756">
        <f t="shared" si="2"/>
        <v>0</v>
      </c>
      <c r="Z32" s="756">
        <f t="shared" si="2"/>
        <v>0</v>
      </c>
      <c r="AA32" s="756">
        <f t="shared" si="2"/>
        <v>0</v>
      </c>
      <c r="AB32" s="756">
        <f t="shared" si="2"/>
        <v>0</v>
      </c>
      <c r="AC32" s="725"/>
    </row>
    <row r="33" spans="1:29" s="746" customFormat="1" ht="16.5" thickTop="1" thickBot="1" x14ac:dyDescent="0.3">
      <c r="A33" s="747">
        <v>2</v>
      </c>
      <c r="B33" s="748" t="s">
        <v>1345</v>
      </c>
      <c r="C33" s="748" t="s">
        <v>1355</v>
      </c>
      <c r="D33" s="748" t="s">
        <v>1354</v>
      </c>
      <c r="E33" s="748"/>
      <c r="F33" s="748"/>
      <c r="G33" s="748"/>
      <c r="H33" s="749" t="s">
        <v>1436</v>
      </c>
      <c r="I33" s="750">
        <f>+I34</f>
        <v>92752000</v>
      </c>
      <c r="J33" s="750">
        <f t="shared" ref="J33:X33" si="16">+J34</f>
        <v>88348397</v>
      </c>
      <c r="K33" s="750">
        <f t="shared" si="16"/>
        <v>88348397</v>
      </c>
      <c r="L33" s="750">
        <f t="shared" si="16"/>
        <v>88348397</v>
      </c>
      <c r="M33" s="750">
        <f t="shared" si="16"/>
        <v>15800000</v>
      </c>
      <c r="N33" s="751">
        <f t="shared" si="16"/>
        <v>15800000</v>
      </c>
      <c r="O33" s="751">
        <f t="shared" si="16"/>
        <v>15800000</v>
      </c>
      <c r="P33" s="751">
        <f t="shared" si="16"/>
        <v>15800000</v>
      </c>
      <c r="Q33" s="751">
        <f t="shared" si="16"/>
        <v>0</v>
      </c>
      <c r="R33" s="751">
        <f t="shared" si="16"/>
        <v>0</v>
      </c>
      <c r="S33" s="751">
        <f t="shared" si="16"/>
        <v>0</v>
      </c>
      <c r="T33" s="751">
        <f t="shared" si="16"/>
        <v>0</v>
      </c>
      <c r="U33" s="751">
        <f t="shared" si="16"/>
        <v>0</v>
      </c>
      <c r="V33" s="751">
        <f t="shared" si="16"/>
        <v>0</v>
      </c>
      <c r="W33" s="751">
        <f t="shared" si="16"/>
        <v>0</v>
      </c>
      <c r="X33" s="751">
        <f t="shared" si="16"/>
        <v>0</v>
      </c>
      <c r="Y33" s="752">
        <f t="shared" si="2"/>
        <v>108552000</v>
      </c>
      <c r="Z33" s="752">
        <f t="shared" si="2"/>
        <v>104148397</v>
      </c>
      <c r="AA33" s="752">
        <f t="shared" si="2"/>
        <v>104148397</v>
      </c>
      <c r="AB33" s="752">
        <f t="shared" si="2"/>
        <v>104148397</v>
      </c>
      <c r="AC33" s="725"/>
    </row>
    <row r="34" spans="1:29" s="757" customFormat="1" ht="16.5" thickTop="1" thickBot="1" x14ac:dyDescent="0.3">
      <c r="A34" s="737">
        <v>2</v>
      </c>
      <c r="B34" s="738" t="s">
        <v>1345</v>
      </c>
      <c r="C34" s="738" t="s">
        <v>1355</v>
      </c>
      <c r="D34" s="738" t="s">
        <v>1354</v>
      </c>
      <c r="E34" s="738" t="s">
        <v>1345</v>
      </c>
      <c r="F34" s="738"/>
      <c r="G34" s="738"/>
      <c r="H34" s="740" t="s">
        <v>1437</v>
      </c>
      <c r="I34" s="744">
        <v>92752000</v>
      </c>
      <c r="J34" s="759">
        <v>88348397</v>
      </c>
      <c r="K34" s="759">
        <v>88348397</v>
      </c>
      <c r="L34" s="759">
        <v>88348397</v>
      </c>
      <c r="M34" s="744">
        <v>15800000</v>
      </c>
      <c r="N34" s="742">
        <v>15800000</v>
      </c>
      <c r="O34" s="742">
        <v>15800000</v>
      </c>
      <c r="P34" s="742">
        <v>15800000</v>
      </c>
      <c r="Q34" s="742"/>
      <c r="R34" s="742"/>
      <c r="S34" s="742"/>
      <c r="T34" s="742"/>
      <c r="U34" s="742"/>
      <c r="V34" s="742"/>
      <c r="W34" s="742"/>
      <c r="X34" s="742"/>
      <c r="Y34" s="743">
        <f t="shared" si="2"/>
        <v>108552000</v>
      </c>
      <c r="Z34" s="743">
        <f t="shared" si="2"/>
        <v>104148397</v>
      </c>
      <c r="AA34" s="743">
        <f t="shared" si="2"/>
        <v>104148397</v>
      </c>
      <c r="AB34" s="743">
        <f t="shared" si="2"/>
        <v>104148397</v>
      </c>
      <c r="AC34" s="725"/>
    </row>
    <row r="35" spans="1:29" ht="16.5" thickTop="1" thickBot="1" x14ac:dyDescent="0.3">
      <c r="A35" s="768">
        <v>2</v>
      </c>
      <c r="B35" s="769" t="s">
        <v>1345</v>
      </c>
      <c r="C35" s="748" t="s">
        <v>1355</v>
      </c>
      <c r="D35" s="748" t="s">
        <v>1355</v>
      </c>
      <c r="E35" s="768"/>
      <c r="F35" s="768"/>
      <c r="G35" s="768"/>
      <c r="H35" s="749" t="s">
        <v>1362</v>
      </c>
      <c r="I35" s="770">
        <f>+I36+I37+I38</f>
        <v>0</v>
      </c>
      <c r="J35" s="771">
        <f t="shared" ref="J35:X35" si="17">+J36+J37+J38</f>
        <v>0</v>
      </c>
      <c r="K35" s="771">
        <f t="shared" si="17"/>
        <v>0</v>
      </c>
      <c r="L35" s="771">
        <f t="shared" si="17"/>
        <v>0</v>
      </c>
      <c r="M35" s="771">
        <f t="shared" si="17"/>
        <v>0</v>
      </c>
      <c r="N35" s="771">
        <f t="shared" si="17"/>
        <v>0</v>
      </c>
      <c r="O35" s="771">
        <f t="shared" si="17"/>
        <v>0</v>
      </c>
      <c r="P35" s="771">
        <f t="shared" si="17"/>
        <v>0</v>
      </c>
      <c r="Q35" s="771">
        <f t="shared" si="17"/>
        <v>0</v>
      </c>
      <c r="R35" s="771">
        <f t="shared" si="17"/>
        <v>0</v>
      </c>
      <c r="S35" s="771">
        <f t="shared" si="17"/>
        <v>0</v>
      </c>
      <c r="T35" s="771">
        <f t="shared" si="17"/>
        <v>0</v>
      </c>
      <c r="U35" s="771">
        <f t="shared" si="17"/>
        <v>0</v>
      </c>
      <c r="V35" s="771">
        <f t="shared" si="17"/>
        <v>0</v>
      </c>
      <c r="W35" s="771">
        <f t="shared" si="17"/>
        <v>0</v>
      </c>
      <c r="X35" s="771">
        <f t="shared" si="17"/>
        <v>0</v>
      </c>
      <c r="Y35" s="772">
        <f t="shared" si="2"/>
        <v>0</v>
      </c>
      <c r="Z35" s="772">
        <f t="shared" si="2"/>
        <v>0</v>
      </c>
      <c r="AA35" s="772">
        <f t="shared" si="2"/>
        <v>0</v>
      </c>
      <c r="AB35" s="772">
        <f t="shared" si="2"/>
        <v>0</v>
      </c>
      <c r="AC35" s="725"/>
    </row>
    <row r="36" spans="1:29" s="757" customFormat="1" ht="16.5" thickTop="1" thickBot="1" x14ac:dyDescent="0.3">
      <c r="A36" s="737">
        <v>2</v>
      </c>
      <c r="B36" s="738" t="s">
        <v>1345</v>
      </c>
      <c r="C36" s="738" t="s">
        <v>1355</v>
      </c>
      <c r="D36" s="738" t="s">
        <v>1355</v>
      </c>
      <c r="E36" s="738" t="s">
        <v>1345</v>
      </c>
      <c r="F36" s="738"/>
      <c r="G36" s="738"/>
      <c r="H36" s="753" t="s">
        <v>1438</v>
      </c>
      <c r="I36" s="759"/>
      <c r="J36" s="742"/>
      <c r="K36" s="742"/>
      <c r="L36" s="742"/>
      <c r="M36" s="742"/>
      <c r="N36" s="742"/>
      <c r="O36" s="742"/>
      <c r="P36" s="742"/>
      <c r="Q36" s="742"/>
      <c r="R36" s="742"/>
      <c r="S36" s="742"/>
      <c r="T36" s="742"/>
      <c r="U36" s="742"/>
      <c r="V36" s="742"/>
      <c r="W36" s="742"/>
      <c r="X36" s="742"/>
      <c r="Y36" s="743">
        <f t="shared" si="2"/>
        <v>0</v>
      </c>
      <c r="Z36" s="743">
        <f t="shared" si="2"/>
        <v>0</v>
      </c>
      <c r="AA36" s="743">
        <f t="shared" si="2"/>
        <v>0</v>
      </c>
      <c r="AB36" s="743">
        <f t="shared" si="2"/>
        <v>0</v>
      </c>
      <c r="AC36" s="725"/>
    </row>
    <row r="37" spans="1:29" s="757" customFormat="1" ht="16.5" thickTop="1" thickBot="1" x14ac:dyDescent="0.3">
      <c r="A37" s="737">
        <v>2</v>
      </c>
      <c r="B37" s="738" t="s">
        <v>1345</v>
      </c>
      <c r="C37" s="738" t="s">
        <v>1355</v>
      </c>
      <c r="D37" s="738" t="s">
        <v>1355</v>
      </c>
      <c r="E37" s="738" t="s">
        <v>1350</v>
      </c>
      <c r="F37" s="738"/>
      <c r="G37" s="738"/>
      <c r="H37" s="753" t="s">
        <v>1439</v>
      </c>
      <c r="I37" s="759"/>
      <c r="J37" s="742"/>
      <c r="K37" s="742"/>
      <c r="L37" s="742"/>
      <c r="M37" s="742"/>
      <c r="N37" s="742"/>
      <c r="O37" s="742"/>
      <c r="P37" s="742"/>
      <c r="Q37" s="742"/>
      <c r="R37" s="742"/>
      <c r="S37" s="742"/>
      <c r="T37" s="742"/>
      <c r="U37" s="742"/>
      <c r="V37" s="742"/>
      <c r="W37" s="742"/>
      <c r="X37" s="742"/>
      <c r="Y37" s="743">
        <f t="shared" si="2"/>
        <v>0</v>
      </c>
      <c r="Z37" s="743">
        <f t="shared" si="2"/>
        <v>0</v>
      </c>
      <c r="AA37" s="743">
        <f t="shared" si="2"/>
        <v>0</v>
      </c>
      <c r="AB37" s="743">
        <f t="shared" si="2"/>
        <v>0</v>
      </c>
      <c r="AC37" s="725"/>
    </row>
    <row r="38" spans="1:29" s="757" customFormat="1" ht="16.5" thickTop="1" thickBot="1" x14ac:dyDescent="0.3">
      <c r="A38" s="737">
        <v>2</v>
      </c>
      <c r="B38" s="738" t="s">
        <v>1345</v>
      </c>
      <c r="C38" s="738" t="s">
        <v>1355</v>
      </c>
      <c r="D38" s="738" t="s">
        <v>1355</v>
      </c>
      <c r="E38" s="738" t="s">
        <v>1354</v>
      </c>
      <c r="F38" s="738"/>
      <c r="G38" s="738"/>
      <c r="H38" s="753" t="s">
        <v>1364</v>
      </c>
      <c r="I38" s="759"/>
      <c r="J38" s="742"/>
      <c r="K38" s="742"/>
      <c r="L38" s="742"/>
      <c r="M38" s="742"/>
      <c r="N38" s="742"/>
      <c r="O38" s="742"/>
      <c r="P38" s="742"/>
      <c r="Q38" s="742"/>
      <c r="R38" s="742"/>
      <c r="S38" s="742"/>
      <c r="T38" s="742"/>
      <c r="U38" s="742"/>
      <c r="V38" s="742"/>
      <c r="W38" s="742"/>
      <c r="X38" s="742"/>
      <c r="Y38" s="743">
        <f t="shared" si="2"/>
        <v>0</v>
      </c>
      <c r="Z38" s="743">
        <f t="shared" si="2"/>
        <v>0</v>
      </c>
      <c r="AA38" s="743">
        <f t="shared" si="2"/>
        <v>0</v>
      </c>
      <c r="AB38" s="743">
        <f t="shared" si="2"/>
        <v>0</v>
      </c>
      <c r="AC38" s="725"/>
    </row>
    <row r="39" spans="1:29" ht="16.5" thickTop="1" thickBot="1" x14ac:dyDescent="0.3">
      <c r="A39" s="734">
        <v>2</v>
      </c>
      <c r="B39" s="727" t="s">
        <v>1350</v>
      </c>
      <c r="C39" s="727"/>
      <c r="D39" s="727"/>
      <c r="E39" s="727"/>
      <c r="F39" s="727"/>
      <c r="G39" s="727"/>
      <c r="H39" s="735" t="s">
        <v>1440</v>
      </c>
      <c r="I39" s="773">
        <f>+I40+I44</f>
        <v>1424260590</v>
      </c>
      <c r="J39" s="774">
        <f t="shared" ref="J39:X39" si="18">+J40+J44</f>
        <v>0</v>
      </c>
      <c r="K39" s="774">
        <f t="shared" si="18"/>
        <v>0</v>
      </c>
      <c r="L39" s="774">
        <f t="shared" si="18"/>
        <v>0</v>
      </c>
      <c r="M39" s="774">
        <f t="shared" si="18"/>
        <v>7271340</v>
      </c>
      <c r="N39" s="774">
        <f t="shared" si="18"/>
        <v>7271340</v>
      </c>
      <c r="O39" s="774">
        <f t="shared" si="18"/>
        <v>7271340</v>
      </c>
      <c r="P39" s="774">
        <f t="shared" si="18"/>
        <v>7271340</v>
      </c>
      <c r="Q39" s="774">
        <f t="shared" si="18"/>
        <v>0</v>
      </c>
      <c r="R39" s="774">
        <f t="shared" si="18"/>
        <v>0</v>
      </c>
      <c r="S39" s="774">
        <f t="shared" si="18"/>
        <v>0</v>
      </c>
      <c r="T39" s="774">
        <f t="shared" si="18"/>
        <v>0</v>
      </c>
      <c r="U39" s="774">
        <f t="shared" si="18"/>
        <v>0</v>
      </c>
      <c r="V39" s="774">
        <f t="shared" si="18"/>
        <v>0</v>
      </c>
      <c r="W39" s="774">
        <f t="shared" si="18"/>
        <v>0</v>
      </c>
      <c r="X39" s="774">
        <f t="shared" si="18"/>
        <v>0</v>
      </c>
      <c r="Y39" s="775">
        <f t="shared" si="2"/>
        <v>1431531930</v>
      </c>
      <c r="Z39" s="775">
        <f t="shared" si="2"/>
        <v>7271340</v>
      </c>
      <c r="AA39" s="775">
        <f t="shared" si="2"/>
        <v>7271340</v>
      </c>
      <c r="AB39" s="775">
        <f t="shared" si="2"/>
        <v>7271340</v>
      </c>
      <c r="AC39" s="725"/>
    </row>
    <row r="40" spans="1:29" ht="16.5" thickTop="1" thickBot="1" x14ac:dyDescent="0.3">
      <c r="A40" s="768">
        <v>2</v>
      </c>
      <c r="B40" s="769" t="s">
        <v>1350</v>
      </c>
      <c r="C40" s="748" t="s">
        <v>1345</v>
      </c>
      <c r="D40" s="747"/>
      <c r="E40" s="748"/>
      <c r="F40" s="748"/>
      <c r="G40" s="748"/>
      <c r="H40" s="749" t="s">
        <v>1441</v>
      </c>
      <c r="I40" s="776">
        <f>+I41+I42+I43</f>
        <v>0</v>
      </c>
      <c r="J40" s="777">
        <f t="shared" ref="J40:X40" si="19">+J41+J42+J43</f>
        <v>0</v>
      </c>
      <c r="K40" s="777">
        <f t="shared" si="19"/>
        <v>0</v>
      </c>
      <c r="L40" s="777">
        <f t="shared" si="19"/>
        <v>0</v>
      </c>
      <c r="M40" s="777">
        <f t="shared" si="19"/>
        <v>0</v>
      </c>
      <c r="N40" s="777">
        <f t="shared" si="19"/>
        <v>0</v>
      </c>
      <c r="O40" s="777">
        <f t="shared" si="19"/>
        <v>0</v>
      </c>
      <c r="P40" s="777">
        <f t="shared" si="19"/>
        <v>0</v>
      </c>
      <c r="Q40" s="777">
        <f t="shared" si="19"/>
        <v>0</v>
      </c>
      <c r="R40" s="777">
        <f t="shared" si="19"/>
        <v>0</v>
      </c>
      <c r="S40" s="777">
        <f t="shared" si="19"/>
        <v>0</v>
      </c>
      <c r="T40" s="777">
        <f t="shared" si="19"/>
        <v>0</v>
      </c>
      <c r="U40" s="777">
        <f t="shared" si="19"/>
        <v>0</v>
      </c>
      <c r="V40" s="777">
        <f t="shared" si="19"/>
        <v>0</v>
      </c>
      <c r="W40" s="777">
        <f t="shared" si="19"/>
        <v>0</v>
      </c>
      <c r="X40" s="777">
        <f t="shared" si="19"/>
        <v>0</v>
      </c>
      <c r="Y40" s="778">
        <f t="shared" si="2"/>
        <v>0</v>
      </c>
      <c r="Z40" s="778">
        <f t="shared" si="2"/>
        <v>0</v>
      </c>
      <c r="AA40" s="778">
        <f t="shared" si="2"/>
        <v>0</v>
      </c>
      <c r="AB40" s="778">
        <f t="shared" si="2"/>
        <v>0</v>
      </c>
      <c r="AC40" s="725"/>
    </row>
    <row r="41" spans="1:29" ht="16.5" thickTop="1" thickBot="1" x14ac:dyDescent="0.3">
      <c r="A41" s="737">
        <v>2</v>
      </c>
      <c r="B41" s="738" t="s">
        <v>1350</v>
      </c>
      <c r="C41" s="738" t="s">
        <v>1345</v>
      </c>
      <c r="D41" s="739" t="s">
        <v>1345</v>
      </c>
      <c r="E41" s="737"/>
      <c r="F41" s="737"/>
      <c r="G41" s="737"/>
      <c r="H41" s="753" t="s">
        <v>1441</v>
      </c>
      <c r="I41" s="779"/>
      <c r="J41" s="780"/>
      <c r="K41" s="780"/>
      <c r="L41" s="780"/>
      <c r="M41" s="780"/>
      <c r="N41" s="780"/>
      <c r="O41" s="780"/>
      <c r="P41" s="780"/>
      <c r="Q41" s="780"/>
      <c r="R41" s="780"/>
      <c r="S41" s="780"/>
      <c r="T41" s="780"/>
      <c r="U41" s="780"/>
      <c r="V41" s="780"/>
      <c r="W41" s="780"/>
      <c r="X41" s="780"/>
      <c r="Y41" s="781">
        <f t="shared" si="2"/>
        <v>0</v>
      </c>
      <c r="Z41" s="781">
        <f t="shared" si="2"/>
        <v>0</v>
      </c>
      <c r="AA41" s="781">
        <f t="shared" si="2"/>
        <v>0</v>
      </c>
      <c r="AB41" s="781">
        <f t="shared" si="2"/>
        <v>0</v>
      </c>
      <c r="AC41" s="725"/>
    </row>
    <row r="42" spans="1:29" ht="16.5" thickTop="1" thickBot="1" x14ac:dyDescent="0.3">
      <c r="A42" s="737">
        <v>2</v>
      </c>
      <c r="B42" s="738" t="s">
        <v>1350</v>
      </c>
      <c r="C42" s="738" t="s">
        <v>1345</v>
      </c>
      <c r="D42" s="739" t="s">
        <v>1350</v>
      </c>
      <c r="E42" s="737"/>
      <c r="F42" s="737"/>
      <c r="G42" s="737"/>
      <c r="H42" s="753" t="s">
        <v>1442</v>
      </c>
      <c r="I42" s="779"/>
      <c r="J42" s="780"/>
      <c r="K42" s="780"/>
      <c r="L42" s="780"/>
      <c r="M42" s="780"/>
      <c r="N42" s="780"/>
      <c r="O42" s="780"/>
      <c r="P42" s="780"/>
      <c r="Q42" s="780"/>
      <c r="R42" s="780"/>
      <c r="S42" s="780"/>
      <c r="T42" s="780"/>
      <c r="U42" s="780"/>
      <c r="V42" s="780"/>
      <c r="W42" s="780"/>
      <c r="X42" s="780"/>
      <c r="Y42" s="781">
        <f t="shared" si="2"/>
        <v>0</v>
      </c>
      <c r="Z42" s="781">
        <f t="shared" si="2"/>
        <v>0</v>
      </c>
      <c r="AA42" s="781">
        <f t="shared" si="2"/>
        <v>0</v>
      </c>
      <c r="AB42" s="781">
        <f t="shared" si="2"/>
        <v>0</v>
      </c>
      <c r="AC42" s="725"/>
    </row>
    <row r="43" spans="1:29" ht="16.5" thickTop="1" thickBot="1" x14ac:dyDescent="0.3">
      <c r="A43" s="737">
        <v>2</v>
      </c>
      <c r="B43" s="738" t="s">
        <v>1350</v>
      </c>
      <c r="C43" s="738" t="s">
        <v>1345</v>
      </c>
      <c r="D43" s="739" t="s">
        <v>1354</v>
      </c>
      <c r="E43" s="737"/>
      <c r="F43" s="737"/>
      <c r="G43" s="737"/>
      <c r="H43" s="753" t="s">
        <v>1429</v>
      </c>
      <c r="I43" s="779"/>
      <c r="J43" s="780"/>
      <c r="K43" s="780"/>
      <c r="L43" s="780"/>
      <c r="M43" s="780"/>
      <c r="N43" s="780"/>
      <c r="O43" s="780"/>
      <c r="P43" s="780"/>
      <c r="Q43" s="780"/>
      <c r="R43" s="780"/>
      <c r="S43" s="780"/>
      <c r="T43" s="780"/>
      <c r="U43" s="780"/>
      <c r="V43" s="780"/>
      <c r="W43" s="780"/>
      <c r="X43" s="780"/>
      <c r="Y43" s="781">
        <f t="shared" si="2"/>
        <v>0</v>
      </c>
      <c r="Z43" s="781">
        <f t="shared" si="2"/>
        <v>0</v>
      </c>
      <c r="AA43" s="781">
        <f t="shared" si="2"/>
        <v>0</v>
      </c>
      <c r="AB43" s="781">
        <f t="shared" si="2"/>
        <v>0</v>
      </c>
      <c r="AC43" s="725"/>
    </row>
    <row r="44" spans="1:29" ht="16.5" thickTop="1" thickBot="1" x14ac:dyDescent="0.3">
      <c r="A44" s="768">
        <v>2</v>
      </c>
      <c r="B44" s="769" t="s">
        <v>1350</v>
      </c>
      <c r="C44" s="748" t="s">
        <v>1350</v>
      </c>
      <c r="D44" s="747"/>
      <c r="E44" s="748"/>
      <c r="F44" s="748"/>
      <c r="G44" s="748"/>
      <c r="H44" s="749" t="s">
        <v>1443</v>
      </c>
      <c r="I44" s="776">
        <f t="shared" ref="I44:AB44" si="20">+I45+I46+I47+I48+I49</f>
        <v>1424260590</v>
      </c>
      <c r="J44" s="776">
        <f t="shared" si="20"/>
        <v>0</v>
      </c>
      <c r="K44" s="776">
        <f t="shared" si="20"/>
        <v>0</v>
      </c>
      <c r="L44" s="776">
        <f t="shared" si="20"/>
        <v>0</v>
      </c>
      <c r="M44" s="776">
        <f>+M45+M46+M47+M48+M49</f>
        <v>7271340</v>
      </c>
      <c r="N44" s="776">
        <f t="shared" si="20"/>
        <v>7271340</v>
      </c>
      <c r="O44" s="776">
        <f t="shared" si="20"/>
        <v>7271340</v>
      </c>
      <c r="P44" s="776">
        <f t="shared" si="20"/>
        <v>7271340</v>
      </c>
      <c r="Q44" s="776">
        <f t="shared" si="20"/>
        <v>0</v>
      </c>
      <c r="R44" s="776">
        <f t="shared" si="20"/>
        <v>0</v>
      </c>
      <c r="S44" s="776">
        <f t="shared" si="20"/>
        <v>0</v>
      </c>
      <c r="T44" s="776">
        <f t="shared" si="20"/>
        <v>0</v>
      </c>
      <c r="U44" s="776">
        <f t="shared" si="20"/>
        <v>0</v>
      </c>
      <c r="V44" s="776">
        <f t="shared" si="20"/>
        <v>0</v>
      </c>
      <c r="W44" s="776">
        <f t="shared" si="20"/>
        <v>0</v>
      </c>
      <c r="X44" s="776">
        <f t="shared" si="20"/>
        <v>0</v>
      </c>
      <c r="Y44" s="778">
        <f t="shared" si="20"/>
        <v>1431531930</v>
      </c>
      <c r="Z44" s="778">
        <f t="shared" si="20"/>
        <v>7271340</v>
      </c>
      <c r="AA44" s="778">
        <f t="shared" si="20"/>
        <v>7271340</v>
      </c>
      <c r="AB44" s="778">
        <f t="shared" si="20"/>
        <v>7271340</v>
      </c>
      <c r="AC44" s="725"/>
    </row>
    <row r="45" spans="1:29" ht="16.5" thickTop="1" thickBot="1" x14ac:dyDescent="0.3">
      <c r="A45" s="737">
        <v>2</v>
      </c>
      <c r="B45" s="738" t="s">
        <v>1350</v>
      </c>
      <c r="C45" s="738" t="s">
        <v>1350</v>
      </c>
      <c r="D45" s="738" t="s">
        <v>1345</v>
      </c>
      <c r="E45" s="737"/>
      <c r="F45" s="737"/>
      <c r="G45" s="737"/>
      <c r="H45" s="753" t="s">
        <v>1443</v>
      </c>
      <c r="I45" s="767"/>
      <c r="J45" s="742"/>
      <c r="K45" s="742"/>
      <c r="L45" s="742"/>
      <c r="M45" s="742"/>
      <c r="N45" s="742"/>
      <c r="O45" s="742"/>
      <c r="P45" s="742"/>
      <c r="Q45" s="742"/>
      <c r="R45" s="742"/>
      <c r="S45" s="742"/>
      <c r="T45" s="742"/>
      <c r="U45" s="742"/>
      <c r="V45" s="742"/>
      <c r="W45" s="742"/>
      <c r="X45" s="742"/>
      <c r="Y45" s="743">
        <f>+I45+M45+Q45+U45</f>
        <v>0</v>
      </c>
      <c r="Z45" s="743">
        <f t="shared" si="2"/>
        <v>0</v>
      </c>
      <c r="AA45" s="743">
        <f t="shared" si="2"/>
        <v>0</v>
      </c>
      <c r="AB45" s="743">
        <f t="shared" si="2"/>
        <v>0</v>
      </c>
      <c r="AC45" s="725"/>
    </row>
    <row r="46" spans="1:29" ht="16.5" thickTop="1" thickBot="1" x14ac:dyDescent="0.3">
      <c r="A46" s="737">
        <v>2</v>
      </c>
      <c r="B46" s="738" t="s">
        <v>1350</v>
      </c>
      <c r="C46" s="738" t="s">
        <v>1350</v>
      </c>
      <c r="D46" s="738" t="s">
        <v>1350</v>
      </c>
      <c r="E46" s="737"/>
      <c r="F46" s="737"/>
      <c r="G46" s="737"/>
      <c r="H46" s="740" t="s">
        <v>1444</v>
      </c>
      <c r="I46" s="744">
        <v>1424260590</v>
      </c>
      <c r="J46" s="742"/>
      <c r="K46" s="742"/>
      <c r="L46" s="742"/>
      <c r="M46" s="742"/>
      <c r="N46" s="742"/>
      <c r="O46" s="742"/>
      <c r="P46" s="742"/>
      <c r="Q46" s="742"/>
      <c r="R46" s="742"/>
      <c r="S46" s="742"/>
      <c r="T46" s="742"/>
      <c r="U46" s="742"/>
      <c r="V46" s="742"/>
      <c r="W46" s="742"/>
      <c r="X46" s="742"/>
      <c r="Y46" s="743">
        <f>+I46+M46+Q46+U46</f>
        <v>1424260590</v>
      </c>
      <c r="Z46" s="743">
        <f t="shared" si="2"/>
        <v>0</v>
      </c>
      <c r="AA46" s="743">
        <f t="shared" si="2"/>
        <v>0</v>
      </c>
      <c r="AB46" s="743">
        <f t="shared" si="2"/>
        <v>0</v>
      </c>
      <c r="AC46" s="725"/>
    </row>
    <row r="47" spans="1:29" ht="16.5" thickTop="1" thickBot="1" x14ac:dyDescent="0.3">
      <c r="A47" s="737">
        <v>2</v>
      </c>
      <c r="B47" s="738" t="s">
        <v>1350</v>
      </c>
      <c r="C47" s="738" t="s">
        <v>1350</v>
      </c>
      <c r="D47" s="738" t="s">
        <v>1354</v>
      </c>
      <c r="E47" s="737"/>
      <c r="F47" s="737"/>
      <c r="G47" s="737"/>
      <c r="H47" s="753" t="s">
        <v>1429</v>
      </c>
      <c r="I47" s="759"/>
      <c r="J47" s="742"/>
      <c r="K47" s="742"/>
      <c r="L47" s="742"/>
      <c r="M47" s="742"/>
      <c r="N47" s="742"/>
      <c r="O47" s="742"/>
      <c r="P47" s="742"/>
      <c r="Q47" s="742"/>
      <c r="R47" s="742"/>
      <c r="S47" s="742"/>
      <c r="T47" s="742"/>
      <c r="U47" s="742"/>
      <c r="V47" s="742"/>
      <c r="W47" s="742"/>
      <c r="X47" s="742"/>
      <c r="Y47" s="743">
        <f t="shared" si="2"/>
        <v>0</v>
      </c>
      <c r="Z47" s="743">
        <f t="shared" si="2"/>
        <v>0</v>
      </c>
      <c r="AA47" s="743">
        <f t="shared" si="2"/>
        <v>0</v>
      </c>
      <c r="AB47" s="743">
        <f t="shared" si="2"/>
        <v>0</v>
      </c>
      <c r="AC47" s="725"/>
    </row>
    <row r="48" spans="1:29" ht="16.5" thickTop="1" thickBot="1" x14ac:dyDescent="0.3">
      <c r="A48" s="737">
        <v>2</v>
      </c>
      <c r="B48" s="738" t="s">
        <v>1350</v>
      </c>
      <c r="C48" s="738" t="s">
        <v>1350</v>
      </c>
      <c r="D48" s="738" t="s">
        <v>1355</v>
      </c>
      <c r="E48" s="737"/>
      <c r="F48" s="737"/>
      <c r="G48" s="737"/>
      <c r="H48" s="753" t="s">
        <v>1445</v>
      </c>
      <c r="I48" s="767"/>
      <c r="J48" s="755"/>
      <c r="K48" s="755"/>
      <c r="L48" s="755"/>
      <c r="M48" s="744">
        <v>7271340</v>
      </c>
      <c r="N48" s="755">
        <v>7271340</v>
      </c>
      <c r="O48" s="755">
        <v>7271340</v>
      </c>
      <c r="P48" s="755">
        <v>7271340</v>
      </c>
      <c r="Q48" s="755"/>
      <c r="R48" s="755"/>
      <c r="S48" s="755"/>
      <c r="T48" s="755"/>
      <c r="U48" s="755"/>
      <c r="V48" s="755"/>
      <c r="W48" s="755"/>
      <c r="X48" s="755"/>
      <c r="Y48" s="756">
        <f t="shared" si="2"/>
        <v>7271340</v>
      </c>
      <c r="Z48" s="756">
        <f t="shared" si="2"/>
        <v>7271340</v>
      </c>
      <c r="AA48" s="756">
        <f t="shared" si="2"/>
        <v>7271340</v>
      </c>
      <c r="AB48" s="756">
        <f t="shared" si="2"/>
        <v>7271340</v>
      </c>
      <c r="AC48" s="725"/>
    </row>
    <row r="49" spans="1:29" ht="16.5" thickTop="1" thickBot="1" x14ac:dyDescent="0.3">
      <c r="A49" s="737">
        <v>2</v>
      </c>
      <c r="B49" s="738" t="s">
        <v>1350</v>
      </c>
      <c r="C49" s="738" t="s">
        <v>1350</v>
      </c>
      <c r="D49" s="738" t="s">
        <v>1358</v>
      </c>
      <c r="E49" s="737"/>
      <c r="F49" s="737"/>
      <c r="G49" s="737"/>
      <c r="H49" s="753" t="s">
        <v>2516</v>
      </c>
      <c r="I49" s="767"/>
      <c r="J49" s="755"/>
      <c r="K49" s="755"/>
      <c r="L49" s="755"/>
      <c r="M49" s="755"/>
      <c r="N49" s="755"/>
      <c r="O49" s="755"/>
      <c r="P49" s="755"/>
      <c r="Q49" s="755"/>
      <c r="R49" s="755"/>
      <c r="S49" s="755"/>
      <c r="T49" s="755"/>
      <c r="U49" s="755"/>
      <c r="V49" s="755"/>
      <c r="W49" s="755"/>
      <c r="X49" s="755"/>
      <c r="Y49" s="756">
        <f>+I49+M49+Q49+U49</f>
        <v>0</v>
      </c>
      <c r="Z49" s="756">
        <f>+J49+N49+R49+V49</f>
        <v>0</v>
      </c>
      <c r="AA49" s="756">
        <f>+K49+O49+S49+W49</f>
        <v>0</v>
      </c>
      <c r="AB49" s="756">
        <f>+L49+P49+T49+X49</f>
        <v>0</v>
      </c>
      <c r="AC49" s="725"/>
    </row>
    <row r="50" spans="1:29" ht="16.5" thickTop="1" thickBot="1" x14ac:dyDescent="0.3">
      <c r="A50" s="782">
        <v>2</v>
      </c>
      <c r="B50" s="783" t="s">
        <v>1354</v>
      </c>
      <c r="C50" s="783"/>
      <c r="D50" s="783"/>
      <c r="E50" s="782"/>
      <c r="F50" s="782"/>
      <c r="G50" s="782"/>
      <c r="H50" s="452" t="s">
        <v>1446</v>
      </c>
      <c r="I50" s="784">
        <f t="shared" ref="I50:AB50" si="21">+I51+I64+I106+I129+I143+I148+I167+I173+I182</f>
        <v>98403922795</v>
      </c>
      <c r="J50" s="784">
        <f t="shared" si="21"/>
        <v>82432688116</v>
      </c>
      <c r="K50" s="784">
        <f t="shared" si="21"/>
        <v>27116899144</v>
      </c>
      <c r="L50" s="784">
        <f t="shared" si="21"/>
        <v>25179243733</v>
      </c>
      <c r="M50" s="784">
        <f t="shared" si="21"/>
        <v>9067542770</v>
      </c>
      <c r="N50" s="784">
        <f t="shared" si="21"/>
        <v>9057327022</v>
      </c>
      <c r="O50" s="784">
        <f t="shared" si="21"/>
        <v>0</v>
      </c>
      <c r="P50" s="784">
        <f t="shared" si="21"/>
        <v>0</v>
      </c>
      <c r="Q50" s="784">
        <f t="shared" si="21"/>
        <v>0</v>
      </c>
      <c r="R50" s="784">
        <f t="shared" si="21"/>
        <v>0</v>
      </c>
      <c r="S50" s="784">
        <f t="shared" si="21"/>
        <v>0</v>
      </c>
      <c r="T50" s="784">
        <f t="shared" si="21"/>
        <v>0</v>
      </c>
      <c r="U50" s="784">
        <f t="shared" si="21"/>
        <v>79057608517</v>
      </c>
      <c r="V50" s="784">
        <f t="shared" si="21"/>
        <v>78932170681</v>
      </c>
      <c r="W50" s="784">
        <f t="shared" si="21"/>
        <v>65699767403</v>
      </c>
      <c r="X50" s="784">
        <f t="shared" si="21"/>
        <v>65699767403</v>
      </c>
      <c r="Y50" s="784">
        <f t="shared" si="21"/>
        <v>186529074082</v>
      </c>
      <c r="Z50" s="784">
        <f t="shared" si="21"/>
        <v>170422185819</v>
      </c>
      <c r="AA50" s="784">
        <f t="shared" si="21"/>
        <v>92816666547</v>
      </c>
      <c r="AB50" s="784">
        <f t="shared" si="21"/>
        <v>90879011136</v>
      </c>
      <c r="AC50" s="725"/>
    </row>
    <row r="51" spans="1:29" ht="16.5" thickTop="1" thickBot="1" x14ac:dyDescent="0.3">
      <c r="A51" s="455">
        <v>2</v>
      </c>
      <c r="B51" s="454" t="s">
        <v>1354</v>
      </c>
      <c r="C51" s="454" t="s">
        <v>1345</v>
      </c>
      <c r="D51" s="454"/>
      <c r="E51" s="462"/>
      <c r="F51" s="462"/>
      <c r="G51" s="462"/>
      <c r="H51" s="463" t="s">
        <v>1736</v>
      </c>
      <c r="I51" s="464">
        <f t="shared" ref="I51:X51" si="22">+I52+I58</f>
        <v>6571099166</v>
      </c>
      <c r="J51" s="464">
        <f t="shared" si="22"/>
        <v>6552989945</v>
      </c>
      <c r="K51" s="464">
        <f t="shared" si="22"/>
        <v>2345025756</v>
      </c>
      <c r="L51" s="464">
        <f t="shared" si="22"/>
        <v>2345025756</v>
      </c>
      <c r="M51" s="464">
        <f t="shared" si="22"/>
        <v>0</v>
      </c>
      <c r="N51" s="464">
        <f t="shared" si="22"/>
        <v>0</v>
      </c>
      <c r="O51" s="464">
        <f t="shared" si="22"/>
        <v>0</v>
      </c>
      <c r="P51" s="464">
        <f t="shared" si="22"/>
        <v>0</v>
      </c>
      <c r="Q51" s="464">
        <f t="shared" si="22"/>
        <v>0</v>
      </c>
      <c r="R51" s="464">
        <f t="shared" si="22"/>
        <v>0</v>
      </c>
      <c r="S51" s="464">
        <f t="shared" si="22"/>
        <v>0</v>
      </c>
      <c r="T51" s="464">
        <f t="shared" si="22"/>
        <v>0</v>
      </c>
      <c r="U51" s="464">
        <f t="shared" si="22"/>
        <v>0</v>
      </c>
      <c r="V51" s="464">
        <f t="shared" si="22"/>
        <v>0</v>
      </c>
      <c r="W51" s="464">
        <f t="shared" si="22"/>
        <v>0</v>
      </c>
      <c r="X51" s="464">
        <f t="shared" si="22"/>
        <v>0</v>
      </c>
      <c r="Y51" s="785">
        <f t="shared" ref="Y51:AB79" si="23">+I51+M51+Q51+U51</f>
        <v>6571099166</v>
      </c>
      <c r="Z51" s="785">
        <f t="shared" si="23"/>
        <v>6552989945</v>
      </c>
      <c r="AA51" s="785">
        <f t="shared" si="23"/>
        <v>2345025756</v>
      </c>
      <c r="AB51" s="785">
        <f t="shared" si="23"/>
        <v>2345025756</v>
      </c>
      <c r="AC51" s="453"/>
    </row>
    <row r="52" spans="1:29" ht="16.5" thickTop="1" thickBot="1" x14ac:dyDescent="0.3">
      <c r="A52" s="460">
        <v>2</v>
      </c>
      <c r="B52" s="460" t="s">
        <v>1354</v>
      </c>
      <c r="C52" s="460" t="s">
        <v>1345</v>
      </c>
      <c r="D52" s="460" t="s">
        <v>1345</v>
      </c>
      <c r="E52" s="460"/>
      <c r="F52" s="460"/>
      <c r="G52" s="460"/>
      <c r="H52" s="465" t="s">
        <v>1737</v>
      </c>
      <c r="I52" s="461">
        <f>+I53</f>
        <v>1639594000</v>
      </c>
      <c r="J52" s="461">
        <f t="shared" ref="J52:X54" si="24">+J53</f>
        <v>1630096277</v>
      </c>
      <c r="K52" s="461">
        <f t="shared" si="24"/>
        <v>1148471277</v>
      </c>
      <c r="L52" s="461">
        <f t="shared" si="24"/>
        <v>1148471277</v>
      </c>
      <c r="M52" s="461">
        <f t="shared" si="24"/>
        <v>0</v>
      </c>
      <c r="N52" s="461">
        <f t="shared" si="24"/>
        <v>0</v>
      </c>
      <c r="O52" s="461">
        <f t="shared" si="24"/>
        <v>0</v>
      </c>
      <c r="P52" s="461">
        <f t="shared" si="24"/>
        <v>0</v>
      </c>
      <c r="Q52" s="461">
        <f t="shared" si="24"/>
        <v>0</v>
      </c>
      <c r="R52" s="461">
        <f t="shared" si="24"/>
        <v>0</v>
      </c>
      <c r="S52" s="461">
        <f t="shared" si="24"/>
        <v>0</v>
      </c>
      <c r="T52" s="461">
        <f t="shared" si="24"/>
        <v>0</v>
      </c>
      <c r="U52" s="461">
        <f t="shared" si="24"/>
        <v>0</v>
      </c>
      <c r="V52" s="461">
        <f t="shared" si="24"/>
        <v>0</v>
      </c>
      <c r="W52" s="461">
        <f t="shared" si="24"/>
        <v>0</v>
      </c>
      <c r="X52" s="461">
        <f t="shared" si="24"/>
        <v>0</v>
      </c>
      <c r="Y52" s="786">
        <f t="shared" si="23"/>
        <v>1639594000</v>
      </c>
      <c r="Z52" s="786">
        <f t="shared" si="23"/>
        <v>1630096277</v>
      </c>
      <c r="AA52" s="786">
        <f t="shared" si="23"/>
        <v>1148471277</v>
      </c>
      <c r="AB52" s="786">
        <f t="shared" si="23"/>
        <v>1148471277</v>
      </c>
      <c r="AC52" s="453"/>
    </row>
    <row r="53" spans="1:29" ht="16.5" thickTop="1" thickBot="1" x14ac:dyDescent="0.3">
      <c r="A53" s="460">
        <v>3</v>
      </c>
      <c r="B53" s="460" t="s">
        <v>1354</v>
      </c>
      <c r="C53" s="460" t="s">
        <v>1345</v>
      </c>
      <c r="D53" s="460" t="s">
        <v>1345</v>
      </c>
      <c r="E53" s="460" t="s">
        <v>1345</v>
      </c>
      <c r="F53" s="460"/>
      <c r="G53" s="460"/>
      <c r="H53" s="465" t="s">
        <v>1447</v>
      </c>
      <c r="I53" s="461">
        <f>+I54</f>
        <v>1639594000</v>
      </c>
      <c r="J53" s="461">
        <f t="shared" si="24"/>
        <v>1630096277</v>
      </c>
      <c r="K53" s="461">
        <f t="shared" si="24"/>
        <v>1148471277</v>
      </c>
      <c r="L53" s="461">
        <f t="shared" si="24"/>
        <v>1148471277</v>
      </c>
      <c r="M53" s="461">
        <f t="shared" si="24"/>
        <v>0</v>
      </c>
      <c r="N53" s="461">
        <f t="shared" si="24"/>
        <v>0</v>
      </c>
      <c r="O53" s="461">
        <f t="shared" si="24"/>
        <v>0</v>
      </c>
      <c r="P53" s="461">
        <f t="shared" si="24"/>
        <v>0</v>
      </c>
      <c r="Q53" s="461">
        <f t="shared" si="24"/>
        <v>0</v>
      </c>
      <c r="R53" s="461">
        <f t="shared" si="24"/>
        <v>0</v>
      </c>
      <c r="S53" s="461">
        <f t="shared" si="24"/>
        <v>0</v>
      </c>
      <c r="T53" s="461">
        <f t="shared" si="24"/>
        <v>0</v>
      </c>
      <c r="U53" s="461">
        <f t="shared" si="24"/>
        <v>0</v>
      </c>
      <c r="V53" s="461">
        <f t="shared" si="24"/>
        <v>0</v>
      </c>
      <c r="W53" s="461">
        <f t="shared" si="24"/>
        <v>0</v>
      </c>
      <c r="X53" s="461">
        <f t="shared" si="24"/>
        <v>0</v>
      </c>
      <c r="Y53" s="786">
        <f t="shared" si="23"/>
        <v>1639594000</v>
      </c>
      <c r="Z53" s="786">
        <f t="shared" si="23"/>
        <v>1630096277</v>
      </c>
      <c r="AA53" s="786">
        <f t="shared" si="23"/>
        <v>1148471277</v>
      </c>
      <c r="AB53" s="786">
        <f t="shared" si="23"/>
        <v>1148471277</v>
      </c>
      <c r="AC53" s="453"/>
    </row>
    <row r="54" spans="1:29" ht="16.5" thickTop="1" thickBot="1" x14ac:dyDescent="0.3">
      <c r="A54" s="456">
        <v>2</v>
      </c>
      <c r="B54" s="456" t="s">
        <v>1354</v>
      </c>
      <c r="C54" s="456" t="s">
        <v>1345</v>
      </c>
      <c r="D54" s="456" t="s">
        <v>1345</v>
      </c>
      <c r="E54" s="457" t="s">
        <v>1345</v>
      </c>
      <c r="F54" s="457" t="s">
        <v>1345</v>
      </c>
      <c r="G54" s="456"/>
      <c r="H54" s="466" t="s">
        <v>1448</v>
      </c>
      <c r="I54" s="458">
        <f>SUM(I55:I57)</f>
        <v>1639594000</v>
      </c>
      <c r="J54" s="458">
        <f>SUM(J55:J57)</f>
        <v>1630096277</v>
      </c>
      <c r="K54" s="458">
        <f>SUM(K55:K57)</f>
        <v>1148471277</v>
      </c>
      <c r="L54" s="458">
        <f>SUM(L55:L57)</f>
        <v>1148471277</v>
      </c>
      <c r="M54" s="458">
        <f>SUM(M55:M57)</f>
        <v>0</v>
      </c>
      <c r="N54" s="458">
        <f t="shared" si="24"/>
        <v>0</v>
      </c>
      <c r="O54" s="458">
        <f t="shared" si="24"/>
        <v>0</v>
      </c>
      <c r="P54" s="458">
        <f t="shared" si="24"/>
        <v>0</v>
      </c>
      <c r="Q54" s="458">
        <f t="shared" si="24"/>
        <v>0</v>
      </c>
      <c r="R54" s="458">
        <f t="shared" si="24"/>
        <v>0</v>
      </c>
      <c r="S54" s="458">
        <f t="shared" si="24"/>
        <v>0</v>
      </c>
      <c r="T54" s="458">
        <f t="shared" si="24"/>
        <v>0</v>
      </c>
      <c r="U54" s="458">
        <f t="shared" si="24"/>
        <v>0</v>
      </c>
      <c r="V54" s="458">
        <f t="shared" si="24"/>
        <v>0</v>
      </c>
      <c r="W54" s="458">
        <f t="shared" si="24"/>
        <v>0</v>
      </c>
      <c r="X54" s="458">
        <f t="shared" si="24"/>
        <v>0</v>
      </c>
      <c r="Y54" s="787">
        <f t="shared" si="23"/>
        <v>1639594000</v>
      </c>
      <c r="Z54" s="787">
        <f t="shared" si="23"/>
        <v>1630096277</v>
      </c>
      <c r="AA54" s="787">
        <f t="shared" si="23"/>
        <v>1148471277</v>
      </c>
      <c r="AB54" s="787">
        <f t="shared" si="23"/>
        <v>1148471277</v>
      </c>
      <c r="AC54" s="453"/>
    </row>
    <row r="55" spans="1:29" ht="16.5" thickTop="1" thickBot="1" x14ac:dyDescent="0.3">
      <c r="A55" s="456">
        <v>2</v>
      </c>
      <c r="B55" s="456" t="s">
        <v>1354</v>
      </c>
      <c r="C55" s="456" t="s">
        <v>1345</v>
      </c>
      <c r="D55" s="456" t="s">
        <v>1345</v>
      </c>
      <c r="E55" s="457" t="s">
        <v>1345</v>
      </c>
      <c r="F55" s="457" t="s">
        <v>1345</v>
      </c>
      <c r="G55" s="457" t="s">
        <v>1345</v>
      </c>
      <c r="H55" s="466" t="s">
        <v>2517</v>
      </c>
      <c r="I55" s="458">
        <v>807297000</v>
      </c>
      <c r="J55" s="458">
        <v>805500000</v>
      </c>
      <c r="K55" s="458">
        <v>562525000</v>
      </c>
      <c r="L55" s="458">
        <v>562525000</v>
      </c>
      <c r="M55" s="458"/>
      <c r="N55" s="458"/>
      <c r="O55" s="458"/>
      <c r="P55" s="458"/>
      <c r="Q55" s="458"/>
      <c r="R55" s="458"/>
      <c r="S55" s="458"/>
      <c r="T55" s="458"/>
      <c r="U55" s="458"/>
      <c r="V55" s="458"/>
      <c r="W55" s="458"/>
      <c r="X55" s="458"/>
      <c r="Y55" s="787">
        <f t="shared" si="23"/>
        <v>807297000</v>
      </c>
      <c r="Z55" s="787">
        <f t="shared" si="23"/>
        <v>805500000</v>
      </c>
      <c r="AA55" s="787">
        <f t="shared" si="23"/>
        <v>562525000</v>
      </c>
      <c r="AB55" s="787">
        <f t="shared" si="23"/>
        <v>562525000</v>
      </c>
      <c r="AC55" s="453"/>
    </row>
    <row r="56" spans="1:29" ht="16.5" thickTop="1" thickBot="1" x14ac:dyDescent="0.3">
      <c r="A56" s="456"/>
      <c r="B56" s="456"/>
      <c r="C56" s="456"/>
      <c r="D56" s="456"/>
      <c r="E56" s="457"/>
      <c r="F56" s="457"/>
      <c r="G56" s="457"/>
      <c r="H56" s="466" t="s">
        <v>2518</v>
      </c>
      <c r="I56" s="458">
        <f>789297000+3000000</f>
        <v>792297000</v>
      </c>
      <c r="J56" s="458">
        <v>788900000</v>
      </c>
      <c r="K56" s="458">
        <v>550250000</v>
      </c>
      <c r="L56" s="458">
        <v>550250000</v>
      </c>
      <c r="M56" s="458"/>
      <c r="N56" s="458"/>
      <c r="O56" s="458"/>
      <c r="P56" s="458"/>
      <c r="Q56" s="458"/>
      <c r="R56" s="458"/>
      <c r="S56" s="458"/>
      <c r="T56" s="458"/>
      <c r="U56" s="458"/>
      <c r="V56" s="458"/>
      <c r="W56" s="458"/>
      <c r="X56" s="458"/>
      <c r="Y56" s="787">
        <f t="shared" si="23"/>
        <v>792297000</v>
      </c>
      <c r="Z56" s="787">
        <f t="shared" si="23"/>
        <v>788900000</v>
      </c>
      <c r="AA56" s="787">
        <f t="shared" si="23"/>
        <v>550250000</v>
      </c>
      <c r="AB56" s="787">
        <f t="shared" si="23"/>
        <v>550250000</v>
      </c>
      <c r="AC56" s="453"/>
    </row>
    <row r="57" spans="1:29" ht="16.5" thickTop="1" thickBot="1" x14ac:dyDescent="0.3">
      <c r="A57" s="456"/>
      <c r="B57" s="456"/>
      <c r="C57" s="456"/>
      <c r="D57" s="456"/>
      <c r="E57" s="457"/>
      <c r="F57" s="457"/>
      <c r="G57" s="457"/>
      <c r="H57" s="466" t="s">
        <v>2519</v>
      </c>
      <c r="I57" s="458">
        <v>40000000</v>
      </c>
      <c r="J57" s="458">
        <v>35696277</v>
      </c>
      <c r="K57" s="458">
        <v>35696277</v>
      </c>
      <c r="L57" s="458">
        <v>35696277</v>
      </c>
      <c r="M57" s="458"/>
      <c r="N57" s="458"/>
      <c r="O57" s="458"/>
      <c r="P57" s="458"/>
      <c r="Q57" s="458"/>
      <c r="R57" s="458"/>
      <c r="S57" s="458"/>
      <c r="T57" s="458"/>
      <c r="U57" s="458"/>
      <c r="V57" s="458"/>
      <c r="W57" s="458"/>
      <c r="X57" s="458"/>
      <c r="Y57" s="787">
        <f t="shared" si="23"/>
        <v>40000000</v>
      </c>
      <c r="Z57" s="787">
        <f t="shared" si="23"/>
        <v>35696277</v>
      </c>
      <c r="AA57" s="787">
        <f t="shared" si="23"/>
        <v>35696277</v>
      </c>
      <c r="AB57" s="787">
        <f t="shared" si="23"/>
        <v>35696277</v>
      </c>
      <c r="AC57" s="453"/>
    </row>
    <row r="58" spans="1:29" ht="16.5" thickTop="1" thickBot="1" x14ac:dyDescent="0.3">
      <c r="A58" s="460">
        <v>2</v>
      </c>
      <c r="B58" s="460" t="s">
        <v>1354</v>
      </c>
      <c r="C58" s="460" t="s">
        <v>1345</v>
      </c>
      <c r="D58" s="460" t="s">
        <v>1350</v>
      </c>
      <c r="E58" s="460"/>
      <c r="F58" s="460"/>
      <c r="G58" s="460"/>
      <c r="H58" s="465" t="s">
        <v>1738</v>
      </c>
      <c r="I58" s="461">
        <f>+I59</f>
        <v>4931505166</v>
      </c>
      <c r="J58" s="461">
        <f t="shared" ref="J58:X60" si="25">+J59</f>
        <v>4922893668</v>
      </c>
      <c r="K58" s="461">
        <f t="shared" si="25"/>
        <v>1196554479</v>
      </c>
      <c r="L58" s="461">
        <f t="shared" si="25"/>
        <v>1196554479</v>
      </c>
      <c r="M58" s="461">
        <f t="shared" si="25"/>
        <v>0</v>
      </c>
      <c r="N58" s="461">
        <f t="shared" si="25"/>
        <v>0</v>
      </c>
      <c r="O58" s="461">
        <f t="shared" si="25"/>
        <v>0</v>
      </c>
      <c r="P58" s="461">
        <f t="shared" si="25"/>
        <v>0</v>
      </c>
      <c r="Q58" s="461">
        <f t="shared" si="25"/>
        <v>0</v>
      </c>
      <c r="R58" s="461">
        <f t="shared" si="25"/>
        <v>0</v>
      </c>
      <c r="S58" s="461">
        <f t="shared" si="25"/>
        <v>0</v>
      </c>
      <c r="T58" s="461">
        <f t="shared" si="25"/>
        <v>0</v>
      </c>
      <c r="U58" s="461">
        <f t="shared" si="25"/>
        <v>0</v>
      </c>
      <c r="V58" s="461">
        <f t="shared" si="25"/>
        <v>0</v>
      </c>
      <c r="W58" s="461">
        <f t="shared" si="25"/>
        <v>0</v>
      </c>
      <c r="X58" s="461">
        <f t="shared" si="25"/>
        <v>0</v>
      </c>
      <c r="Y58" s="786">
        <f t="shared" si="23"/>
        <v>4931505166</v>
      </c>
      <c r="Z58" s="786">
        <f t="shared" si="23"/>
        <v>4922893668</v>
      </c>
      <c r="AA58" s="786">
        <f t="shared" si="23"/>
        <v>1196554479</v>
      </c>
      <c r="AB58" s="786">
        <f t="shared" si="23"/>
        <v>1196554479</v>
      </c>
      <c r="AC58" s="453"/>
    </row>
    <row r="59" spans="1:29" ht="16.5" thickTop="1" thickBot="1" x14ac:dyDescent="0.3">
      <c r="A59" s="460">
        <v>2</v>
      </c>
      <c r="B59" s="460" t="s">
        <v>1354</v>
      </c>
      <c r="C59" s="460" t="s">
        <v>1345</v>
      </c>
      <c r="D59" s="460" t="s">
        <v>1350</v>
      </c>
      <c r="E59" s="460" t="s">
        <v>1345</v>
      </c>
      <c r="F59" s="460"/>
      <c r="G59" s="460"/>
      <c r="H59" s="465" t="s">
        <v>1447</v>
      </c>
      <c r="I59" s="461">
        <f>+I60</f>
        <v>4931505166</v>
      </c>
      <c r="J59" s="461">
        <f t="shared" si="25"/>
        <v>4922893668</v>
      </c>
      <c r="K59" s="461">
        <f t="shared" si="25"/>
        <v>1196554479</v>
      </c>
      <c r="L59" s="461">
        <f t="shared" si="25"/>
        <v>1196554479</v>
      </c>
      <c r="M59" s="461">
        <f t="shared" si="25"/>
        <v>0</v>
      </c>
      <c r="N59" s="461">
        <f t="shared" si="25"/>
        <v>0</v>
      </c>
      <c r="O59" s="461">
        <f t="shared" si="25"/>
        <v>0</v>
      </c>
      <c r="P59" s="461">
        <f t="shared" si="25"/>
        <v>0</v>
      </c>
      <c r="Q59" s="461">
        <f t="shared" si="25"/>
        <v>0</v>
      </c>
      <c r="R59" s="461">
        <f t="shared" si="25"/>
        <v>0</v>
      </c>
      <c r="S59" s="461">
        <f t="shared" si="25"/>
        <v>0</v>
      </c>
      <c r="T59" s="461">
        <f t="shared" si="25"/>
        <v>0</v>
      </c>
      <c r="U59" s="461">
        <f t="shared" si="25"/>
        <v>0</v>
      </c>
      <c r="V59" s="461">
        <f t="shared" si="25"/>
        <v>0</v>
      </c>
      <c r="W59" s="461">
        <f t="shared" si="25"/>
        <v>0</v>
      </c>
      <c r="X59" s="461">
        <f t="shared" si="25"/>
        <v>0</v>
      </c>
      <c r="Y59" s="786">
        <f t="shared" si="23"/>
        <v>4931505166</v>
      </c>
      <c r="Z59" s="786">
        <f t="shared" si="23"/>
        <v>4922893668</v>
      </c>
      <c r="AA59" s="786">
        <f t="shared" si="23"/>
        <v>1196554479</v>
      </c>
      <c r="AB59" s="786">
        <f t="shared" si="23"/>
        <v>1196554479</v>
      </c>
      <c r="AC59" s="453"/>
    </row>
    <row r="60" spans="1:29" ht="16.5" thickTop="1" thickBot="1" x14ac:dyDescent="0.3">
      <c r="A60" s="456">
        <v>2</v>
      </c>
      <c r="B60" s="456" t="s">
        <v>1354</v>
      </c>
      <c r="C60" s="456" t="s">
        <v>1345</v>
      </c>
      <c r="D60" s="456" t="s">
        <v>1350</v>
      </c>
      <c r="E60" s="457" t="s">
        <v>1345</v>
      </c>
      <c r="F60" s="457" t="s">
        <v>1345</v>
      </c>
      <c r="G60" s="456"/>
      <c r="H60" s="466" t="s">
        <v>1448</v>
      </c>
      <c r="I60" s="458">
        <f>SUM(I61:I63)</f>
        <v>4931505166</v>
      </c>
      <c r="J60" s="458">
        <f>SUM(J61:J63)</f>
        <v>4922893668</v>
      </c>
      <c r="K60" s="458">
        <f>SUM(K61:K63)</f>
        <v>1196554479</v>
      </c>
      <c r="L60" s="458">
        <f>SUM(L61:L63)</f>
        <v>1196554479</v>
      </c>
      <c r="M60" s="458">
        <f t="shared" si="25"/>
        <v>0</v>
      </c>
      <c r="N60" s="458">
        <f t="shared" si="25"/>
        <v>0</v>
      </c>
      <c r="O60" s="458">
        <f t="shared" si="25"/>
        <v>0</v>
      </c>
      <c r="P60" s="458">
        <f t="shared" si="25"/>
        <v>0</v>
      </c>
      <c r="Q60" s="458">
        <f t="shared" si="25"/>
        <v>0</v>
      </c>
      <c r="R60" s="458">
        <f t="shared" si="25"/>
        <v>0</v>
      </c>
      <c r="S60" s="458">
        <f t="shared" si="25"/>
        <v>0</v>
      </c>
      <c r="T60" s="458">
        <f t="shared" si="25"/>
        <v>0</v>
      </c>
      <c r="U60" s="458">
        <f t="shared" si="25"/>
        <v>0</v>
      </c>
      <c r="V60" s="458">
        <f t="shared" si="25"/>
        <v>0</v>
      </c>
      <c r="W60" s="458">
        <f t="shared" si="25"/>
        <v>0</v>
      </c>
      <c r="X60" s="458">
        <f t="shared" si="25"/>
        <v>0</v>
      </c>
      <c r="Y60" s="787">
        <f t="shared" si="23"/>
        <v>4931505166</v>
      </c>
      <c r="Z60" s="787">
        <f t="shared" si="23"/>
        <v>4922893668</v>
      </c>
      <c r="AA60" s="787">
        <f t="shared" si="23"/>
        <v>1196554479</v>
      </c>
      <c r="AB60" s="787">
        <f t="shared" si="23"/>
        <v>1196554479</v>
      </c>
      <c r="AC60" s="453"/>
    </row>
    <row r="61" spans="1:29" ht="16.5" thickTop="1" thickBot="1" x14ac:dyDescent="0.3">
      <c r="A61" s="456">
        <v>2</v>
      </c>
      <c r="B61" s="456" t="s">
        <v>1354</v>
      </c>
      <c r="C61" s="456" t="s">
        <v>1345</v>
      </c>
      <c r="D61" s="456" t="s">
        <v>1350</v>
      </c>
      <c r="E61" s="457" t="s">
        <v>1345</v>
      </c>
      <c r="F61" s="457" t="s">
        <v>1345</v>
      </c>
      <c r="G61" s="457" t="s">
        <v>1345</v>
      </c>
      <c r="H61" s="466" t="s">
        <v>2520</v>
      </c>
      <c r="I61" s="458">
        <v>15000000</v>
      </c>
      <c r="J61" s="458">
        <v>6501456</v>
      </c>
      <c r="K61" s="458">
        <v>6501456</v>
      </c>
      <c r="L61" s="458">
        <v>6501456</v>
      </c>
      <c r="M61" s="458"/>
      <c r="N61" s="458"/>
      <c r="O61" s="458"/>
      <c r="P61" s="458"/>
      <c r="Q61" s="458"/>
      <c r="R61" s="458"/>
      <c r="S61" s="458"/>
      <c r="T61" s="458"/>
      <c r="U61" s="458"/>
      <c r="V61" s="458"/>
      <c r="W61" s="458"/>
      <c r="X61" s="458"/>
      <c r="Y61" s="787">
        <f t="shared" si="23"/>
        <v>15000000</v>
      </c>
      <c r="Z61" s="787">
        <f t="shared" si="23"/>
        <v>6501456</v>
      </c>
      <c r="AA61" s="787">
        <f t="shared" si="23"/>
        <v>6501456</v>
      </c>
      <c r="AB61" s="787">
        <f t="shared" si="23"/>
        <v>6501456</v>
      </c>
      <c r="AC61" s="453"/>
    </row>
    <row r="62" spans="1:29" ht="16.5" thickTop="1" thickBot="1" x14ac:dyDescent="0.3">
      <c r="A62" s="456"/>
      <c r="B62" s="456"/>
      <c r="C62" s="456"/>
      <c r="D62" s="456"/>
      <c r="E62" s="457"/>
      <c r="F62" s="457"/>
      <c r="G62" s="457"/>
      <c r="H62" s="466" t="s">
        <v>2521</v>
      </c>
      <c r="I62" s="458">
        <v>145856000</v>
      </c>
      <c r="J62" s="458">
        <v>145855000</v>
      </c>
      <c r="K62" s="458">
        <v>145855000</v>
      </c>
      <c r="L62" s="458">
        <v>145855000</v>
      </c>
      <c r="M62" s="458"/>
      <c r="N62" s="458"/>
      <c r="O62" s="458"/>
      <c r="P62" s="458"/>
      <c r="Q62" s="458"/>
      <c r="R62" s="458"/>
      <c r="S62" s="458"/>
      <c r="T62" s="458"/>
      <c r="U62" s="458"/>
      <c r="V62" s="458"/>
      <c r="W62" s="458"/>
      <c r="X62" s="458"/>
      <c r="Y62" s="787">
        <f t="shared" si="23"/>
        <v>145856000</v>
      </c>
      <c r="Z62" s="787">
        <f t="shared" si="23"/>
        <v>145855000</v>
      </c>
      <c r="AA62" s="787">
        <f t="shared" si="23"/>
        <v>145855000</v>
      </c>
      <c r="AB62" s="787">
        <f t="shared" si="23"/>
        <v>145855000</v>
      </c>
      <c r="AC62" s="453"/>
    </row>
    <row r="63" spans="1:29" ht="16.5" thickTop="1" thickBot="1" x14ac:dyDescent="0.3">
      <c r="A63" s="456"/>
      <c r="B63" s="456"/>
      <c r="C63" s="456"/>
      <c r="D63" s="456"/>
      <c r="E63" s="457"/>
      <c r="F63" s="457"/>
      <c r="G63" s="457"/>
      <c r="H63" s="466" t="s">
        <v>2522</v>
      </c>
      <c r="I63" s="458">
        <f>4770537212+111954</f>
        <v>4770649166</v>
      </c>
      <c r="J63" s="458">
        <v>4770537212</v>
      </c>
      <c r="K63" s="458">
        <v>1044198023</v>
      </c>
      <c r="L63" s="458">
        <v>1044198023</v>
      </c>
      <c r="M63" s="458"/>
      <c r="N63" s="458"/>
      <c r="O63" s="458"/>
      <c r="P63" s="458"/>
      <c r="Q63" s="458"/>
      <c r="R63" s="458"/>
      <c r="S63" s="458"/>
      <c r="T63" s="458"/>
      <c r="U63" s="458"/>
      <c r="V63" s="458"/>
      <c r="W63" s="458"/>
      <c r="X63" s="458"/>
      <c r="Y63" s="787">
        <f t="shared" si="23"/>
        <v>4770649166</v>
      </c>
      <c r="Z63" s="787">
        <f t="shared" si="23"/>
        <v>4770537212</v>
      </c>
      <c r="AA63" s="787">
        <f t="shared" si="23"/>
        <v>1044198023</v>
      </c>
      <c r="AB63" s="787">
        <f t="shared" si="23"/>
        <v>1044198023</v>
      </c>
      <c r="AC63" s="453"/>
    </row>
    <row r="64" spans="1:29" ht="16.5" thickTop="1" thickBot="1" x14ac:dyDescent="0.3">
      <c r="A64" s="455">
        <v>2</v>
      </c>
      <c r="B64" s="455" t="s">
        <v>1354</v>
      </c>
      <c r="C64" s="455" t="s">
        <v>1350</v>
      </c>
      <c r="D64" s="462"/>
      <c r="E64" s="462"/>
      <c r="F64" s="462"/>
      <c r="G64" s="462"/>
      <c r="H64" s="463" t="s">
        <v>1739</v>
      </c>
      <c r="I64" s="525">
        <f t="shared" ref="I64:T64" si="26">+I65+I70+I75+I79+I85+I89</f>
        <v>6769912020</v>
      </c>
      <c r="J64" s="525">
        <f t="shared" si="26"/>
        <v>5290281354</v>
      </c>
      <c r="K64" s="525">
        <f t="shared" si="26"/>
        <v>4695516056</v>
      </c>
      <c r="L64" s="525">
        <f t="shared" si="26"/>
        <v>4695036056</v>
      </c>
      <c r="M64" s="525">
        <f t="shared" si="26"/>
        <v>0</v>
      </c>
      <c r="N64" s="525">
        <f t="shared" si="26"/>
        <v>0</v>
      </c>
      <c r="O64" s="525">
        <f t="shared" si="26"/>
        <v>0</v>
      </c>
      <c r="P64" s="525">
        <f t="shared" si="26"/>
        <v>0</v>
      </c>
      <c r="Q64" s="525">
        <f t="shared" si="26"/>
        <v>0</v>
      </c>
      <c r="R64" s="525">
        <f t="shared" si="26"/>
        <v>0</v>
      </c>
      <c r="S64" s="525">
        <f t="shared" si="26"/>
        <v>0</v>
      </c>
      <c r="T64" s="525">
        <f t="shared" si="26"/>
        <v>0</v>
      </c>
      <c r="U64" s="525">
        <f>+U94+U98+U102</f>
        <v>79057608517</v>
      </c>
      <c r="V64" s="525">
        <f>+V94+V98+V102</f>
        <v>78932170681</v>
      </c>
      <c r="W64" s="525">
        <f>+W94+W98+W102</f>
        <v>65699767403</v>
      </c>
      <c r="X64" s="525">
        <f>+X94+X98+X102</f>
        <v>65699767403</v>
      </c>
      <c r="Y64" s="788">
        <f t="shared" si="23"/>
        <v>85827520537</v>
      </c>
      <c r="Z64" s="788">
        <f t="shared" si="23"/>
        <v>84222452035</v>
      </c>
      <c r="AA64" s="788">
        <f t="shared" si="23"/>
        <v>70395283459</v>
      </c>
      <c r="AB64" s="788">
        <f t="shared" si="23"/>
        <v>70394803459</v>
      </c>
      <c r="AC64" s="453"/>
    </row>
    <row r="65" spans="1:29" ht="16.5" thickTop="1" thickBot="1" x14ac:dyDescent="0.3">
      <c r="A65" s="460">
        <v>2</v>
      </c>
      <c r="B65" s="460" t="s">
        <v>1354</v>
      </c>
      <c r="C65" s="460" t="s">
        <v>1350</v>
      </c>
      <c r="D65" s="460" t="s">
        <v>1345</v>
      </c>
      <c r="E65" s="460"/>
      <c r="F65" s="460"/>
      <c r="G65" s="460"/>
      <c r="H65" s="465" t="s">
        <v>1740</v>
      </c>
      <c r="I65" s="789">
        <f>+I66</f>
        <v>95000000</v>
      </c>
      <c r="J65" s="461">
        <f t="shared" ref="J65:X67" si="27">+J66</f>
        <v>4000000</v>
      </c>
      <c r="K65" s="461">
        <f t="shared" si="27"/>
        <v>4000000</v>
      </c>
      <c r="L65" s="461">
        <f t="shared" si="27"/>
        <v>4000000</v>
      </c>
      <c r="M65" s="461">
        <f t="shared" si="27"/>
        <v>0</v>
      </c>
      <c r="N65" s="461">
        <f t="shared" si="27"/>
        <v>0</v>
      </c>
      <c r="O65" s="461">
        <f t="shared" si="27"/>
        <v>0</v>
      </c>
      <c r="P65" s="461">
        <f t="shared" si="27"/>
        <v>0</v>
      </c>
      <c r="Q65" s="461">
        <f t="shared" si="27"/>
        <v>0</v>
      </c>
      <c r="R65" s="461">
        <f t="shared" si="27"/>
        <v>0</v>
      </c>
      <c r="S65" s="461">
        <f t="shared" si="27"/>
        <v>0</v>
      </c>
      <c r="T65" s="461">
        <f t="shared" si="27"/>
        <v>0</v>
      </c>
      <c r="U65" s="461">
        <f t="shared" si="27"/>
        <v>0</v>
      </c>
      <c r="V65" s="461">
        <f t="shared" si="27"/>
        <v>0</v>
      </c>
      <c r="W65" s="461">
        <f t="shared" si="27"/>
        <v>0</v>
      </c>
      <c r="X65" s="461">
        <f t="shared" si="27"/>
        <v>0</v>
      </c>
      <c r="Y65" s="786">
        <f t="shared" si="23"/>
        <v>95000000</v>
      </c>
      <c r="Z65" s="786">
        <f t="shared" si="23"/>
        <v>4000000</v>
      </c>
      <c r="AA65" s="786">
        <f t="shared" si="23"/>
        <v>4000000</v>
      </c>
      <c r="AB65" s="786">
        <f t="shared" si="23"/>
        <v>4000000</v>
      </c>
      <c r="AC65" s="453"/>
    </row>
    <row r="66" spans="1:29" ht="16.5" thickTop="1" thickBot="1" x14ac:dyDescent="0.3">
      <c r="A66" s="460">
        <v>2</v>
      </c>
      <c r="B66" s="460" t="s">
        <v>1354</v>
      </c>
      <c r="C66" s="460" t="s">
        <v>1350</v>
      </c>
      <c r="D66" s="460" t="s">
        <v>1345</v>
      </c>
      <c r="E66" s="460" t="s">
        <v>1345</v>
      </c>
      <c r="F66" s="460"/>
      <c r="G66" s="460"/>
      <c r="H66" s="465" t="s">
        <v>1447</v>
      </c>
      <c r="I66" s="461">
        <f>+I67</f>
        <v>95000000</v>
      </c>
      <c r="J66" s="461">
        <f t="shared" si="27"/>
        <v>4000000</v>
      </c>
      <c r="K66" s="461">
        <f t="shared" si="27"/>
        <v>4000000</v>
      </c>
      <c r="L66" s="461">
        <f t="shared" si="27"/>
        <v>4000000</v>
      </c>
      <c r="M66" s="461">
        <f t="shared" si="27"/>
        <v>0</v>
      </c>
      <c r="N66" s="461">
        <f t="shared" si="27"/>
        <v>0</v>
      </c>
      <c r="O66" s="461">
        <f t="shared" si="27"/>
        <v>0</v>
      </c>
      <c r="P66" s="461">
        <f t="shared" si="27"/>
        <v>0</v>
      </c>
      <c r="Q66" s="461">
        <f t="shared" si="27"/>
        <v>0</v>
      </c>
      <c r="R66" s="461">
        <f t="shared" si="27"/>
        <v>0</v>
      </c>
      <c r="S66" s="461">
        <f t="shared" si="27"/>
        <v>0</v>
      </c>
      <c r="T66" s="461">
        <f t="shared" si="27"/>
        <v>0</v>
      </c>
      <c r="U66" s="461">
        <f t="shared" si="27"/>
        <v>0</v>
      </c>
      <c r="V66" s="461">
        <f t="shared" si="27"/>
        <v>0</v>
      </c>
      <c r="W66" s="461">
        <f t="shared" si="27"/>
        <v>0</v>
      </c>
      <c r="X66" s="461">
        <f t="shared" si="27"/>
        <v>0</v>
      </c>
      <c r="Y66" s="786">
        <f t="shared" si="23"/>
        <v>95000000</v>
      </c>
      <c r="Z66" s="786">
        <f t="shared" si="23"/>
        <v>4000000</v>
      </c>
      <c r="AA66" s="786">
        <f t="shared" si="23"/>
        <v>4000000</v>
      </c>
      <c r="AB66" s="786">
        <f t="shared" si="23"/>
        <v>4000000</v>
      </c>
      <c r="AC66" s="453"/>
    </row>
    <row r="67" spans="1:29" ht="16.5" thickTop="1" thickBot="1" x14ac:dyDescent="0.3">
      <c r="A67" s="456">
        <v>2</v>
      </c>
      <c r="B67" s="456" t="s">
        <v>1354</v>
      </c>
      <c r="C67" s="457" t="s">
        <v>1350</v>
      </c>
      <c r="D67" s="456" t="s">
        <v>1345</v>
      </c>
      <c r="E67" s="457" t="s">
        <v>1345</v>
      </c>
      <c r="F67" s="457" t="s">
        <v>1345</v>
      </c>
      <c r="G67" s="456"/>
      <c r="H67" s="466" t="s">
        <v>1448</v>
      </c>
      <c r="I67" s="792">
        <f>SUM(I68:I69)</f>
        <v>95000000</v>
      </c>
      <c r="J67" s="458">
        <f>SUM(J68:J69)</f>
        <v>4000000</v>
      </c>
      <c r="K67" s="458">
        <f>SUM(K68:K69)</f>
        <v>4000000</v>
      </c>
      <c r="L67" s="458">
        <f>SUM(L68:L69)</f>
        <v>4000000</v>
      </c>
      <c r="M67" s="458">
        <f>SUM(M68:M69)</f>
        <v>0</v>
      </c>
      <c r="N67" s="458">
        <f t="shared" si="27"/>
        <v>0</v>
      </c>
      <c r="O67" s="458">
        <f t="shared" si="27"/>
        <v>0</v>
      </c>
      <c r="P67" s="458">
        <f t="shared" si="27"/>
        <v>0</v>
      </c>
      <c r="Q67" s="458">
        <f t="shared" si="27"/>
        <v>0</v>
      </c>
      <c r="R67" s="458">
        <f t="shared" si="27"/>
        <v>0</v>
      </c>
      <c r="S67" s="458">
        <f t="shared" si="27"/>
        <v>0</v>
      </c>
      <c r="T67" s="458">
        <f t="shared" si="27"/>
        <v>0</v>
      </c>
      <c r="U67" s="458">
        <f t="shared" si="27"/>
        <v>0</v>
      </c>
      <c r="V67" s="458">
        <f t="shared" si="27"/>
        <v>0</v>
      </c>
      <c r="W67" s="458">
        <f t="shared" si="27"/>
        <v>0</v>
      </c>
      <c r="X67" s="458">
        <f t="shared" si="27"/>
        <v>0</v>
      </c>
      <c r="Y67" s="787">
        <f t="shared" si="23"/>
        <v>95000000</v>
      </c>
      <c r="Z67" s="787">
        <f t="shared" si="23"/>
        <v>4000000</v>
      </c>
      <c r="AA67" s="787">
        <f t="shared" si="23"/>
        <v>4000000</v>
      </c>
      <c r="AB67" s="787">
        <f t="shared" si="23"/>
        <v>4000000</v>
      </c>
      <c r="AC67" s="453"/>
    </row>
    <row r="68" spans="1:29" ht="16.5" thickTop="1" thickBot="1" x14ac:dyDescent="0.3">
      <c r="A68" s="456">
        <v>2</v>
      </c>
      <c r="B68" s="456" t="s">
        <v>1354</v>
      </c>
      <c r="C68" s="457" t="s">
        <v>1350</v>
      </c>
      <c r="D68" s="456" t="s">
        <v>1345</v>
      </c>
      <c r="E68" s="457" t="s">
        <v>1345</v>
      </c>
      <c r="F68" s="457" t="s">
        <v>1345</v>
      </c>
      <c r="G68" s="457" t="s">
        <v>1345</v>
      </c>
      <c r="H68" s="466" t="s">
        <v>2523</v>
      </c>
      <c r="I68" s="792">
        <v>15000000</v>
      </c>
      <c r="J68" s="458">
        <v>0</v>
      </c>
      <c r="K68" s="458">
        <v>0</v>
      </c>
      <c r="L68" s="458">
        <v>0</v>
      </c>
      <c r="M68" s="458"/>
      <c r="N68" s="458"/>
      <c r="O68" s="458"/>
      <c r="P68" s="458"/>
      <c r="Q68" s="458"/>
      <c r="R68" s="458"/>
      <c r="S68" s="458"/>
      <c r="T68" s="458"/>
      <c r="U68" s="458"/>
      <c r="V68" s="458"/>
      <c r="W68" s="458"/>
      <c r="X68" s="458"/>
      <c r="Y68" s="787">
        <f t="shared" si="23"/>
        <v>15000000</v>
      </c>
      <c r="Z68" s="787">
        <f t="shared" si="23"/>
        <v>0</v>
      </c>
      <c r="AA68" s="787">
        <f t="shared" si="23"/>
        <v>0</v>
      </c>
      <c r="AB68" s="787">
        <f t="shared" si="23"/>
        <v>0</v>
      </c>
      <c r="AC68" s="453"/>
    </row>
    <row r="69" spans="1:29" ht="16.5" thickTop="1" thickBot="1" x14ac:dyDescent="0.3">
      <c r="A69" s="456"/>
      <c r="B69" s="456"/>
      <c r="C69" s="457"/>
      <c r="D69" s="456"/>
      <c r="E69" s="457"/>
      <c r="F69" s="457"/>
      <c r="G69" s="457"/>
      <c r="H69" s="466" t="s">
        <v>1803</v>
      </c>
      <c r="I69" s="792">
        <v>80000000</v>
      </c>
      <c r="J69" s="458">
        <v>4000000</v>
      </c>
      <c r="K69" s="458">
        <v>4000000</v>
      </c>
      <c r="L69" s="458">
        <v>4000000</v>
      </c>
      <c r="M69" s="458"/>
      <c r="N69" s="458"/>
      <c r="O69" s="458"/>
      <c r="P69" s="458"/>
      <c r="Q69" s="458"/>
      <c r="R69" s="458"/>
      <c r="S69" s="458"/>
      <c r="T69" s="458"/>
      <c r="U69" s="458"/>
      <c r="V69" s="458"/>
      <c r="W69" s="458"/>
      <c r="X69" s="458"/>
      <c r="Y69" s="787">
        <f>+I69+M69+Q69+U69</f>
        <v>80000000</v>
      </c>
      <c r="Z69" s="787">
        <f>+J69+N69+R69+V69</f>
        <v>4000000</v>
      </c>
      <c r="AA69" s="787">
        <f>+K69+O69+S69+W69</f>
        <v>4000000</v>
      </c>
      <c r="AB69" s="787">
        <f>+L69+P69+T69+X69</f>
        <v>4000000</v>
      </c>
      <c r="AC69" s="453"/>
    </row>
    <row r="70" spans="1:29" ht="16.5" thickTop="1" thickBot="1" x14ac:dyDescent="0.3">
      <c r="A70" s="460">
        <v>2</v>
      </c>
      <c r="B70" s="460" t="s">
        <v>1354</v>
      </c>
      <c r="C70" s="460" t="s">
        <v>1350</v>
      </c>
      <c r="D70" s="460" t="s">
        <v>1350</v>
      </c>
      <c r="E70" s="467"/>
      <c r="F70" s="467"/>
      <c r="G70" s="465"/>
      <c r="H70" s="465" t="s">
        <v>1741</v>
      </c>
      <c r="I70" s="790">
        <f>+I71</f>
        <v>672891949</v>
      </c>
      <c r="J70" s="468">
        <f t="shared" ref="J70:X72" si="28">+J71</f>
        <v>572000000</v>
      </c>
      <c r="K70" s="468">
        <f t="shared" si="28"/>
        <v>432000000</v>
      </c>
      <c r="L70" s="468">
        <f t="shared" si="28"/>
        <v>432000000</v>
      </c>
      <c r="M70" s="468">
        <f t="shared" si="28"/>
        <v>0</v>
      </c>
      <c r="N70" s="468">
        <f t="shared" si="28"/>
        <v>0</v>
      </c>
      <c r="O70" s="468">
        <f t="shared" si="28"/>
        <v>0</v>
      </c>
      <c r="P70" s="468">
        <f t="shared" si="28"/>
        <v>0</v>
      </c>
      <c r="Q70" s="468">
        <f t="shared" si="28"/>
        <v>0</v>
      </c>
      <c r="R70" s="468">
        <f t="shared" si="28"/>
        <v>0</v>
      </c>
      <c r="S70" s="468">
        <f t="shared" si="28"/>
        <v>0</v>
      </c>
      <c r="T70" s="468">
        <f t="shared" si="28"/>
        <v>0</v>
      </c>
      <c r="U70" s="468">
        <f t="shared" si="28"/>
        <v>0</v>
      </c>
      <c r="V70" s="468">
        <f t="shared" si="28"/>
        <v>0</v>
      </c>
      <c r="W70" s="468">
        <f t="shared" si="28"/>
        <v>0</v>
      </c>
      <c r="X70" s="468">
        <f t="shared" si="28"/>
        <v>0</v>
      </c>
      <c r="Y70" s="791">
        <f t="shared" si="23"/>
        <v>672891949</v>
      </c>
      <c r="Z70" s="791">
        <f t="shared" si="23"/>
        <v>572000000</v>
      </c>
      <c r="AA70" s="791">
        <f t="shared" si="23"/>
        <v>432000000</v>
      </c>
      <c r="AB70" s="791">
        <f t="shared" si="23"/>
        <v>432000000</v>
      </c>
      <c r="AC70" s="453"/>
    </row>
    <row r="71" spans="1:29" ht="16.5" thickTop="1" thickBot="1" x14ac:dyDescent="0.3">
      <c r="A71" s="460">
        <v>2</v>
      </c>
      <c r="B71" s="460" t="s">
        <v>1354</v>
      </c>
      <c r="C71" s="460" t="s">
        <v>1350</v>
      </c>
      <c r="D71" s="460" t="s">
        <v>1350</v>
      </c>
      <c r="E71" s="460" t="s">
        <v>1345</v>
      </c>
      <c r="F71" s="460"/>
      <c r="G71" s="460"/>
      <c r="H71" s="465" t="s">
        <v>1447</v>
      </c>
      <c r="I71" s="461">
        <f>+I72</f>
        <v>672891949</v>
      </c>
      <c r="J71" s="461">
        <f t="shared" si="28"/>
        <v>572000000</v>
      </c>
      <c r="K71" s="461">
        <f t="shared" si="28"/>
        <v>432000000</v>
      </c>
      <c r="L71" s="461">
        <f t="shared" si="28"/>
        <v>432000000</v>
      </c>
      <c r="M71" s="461">
        <f t="shared" si="28"/>
        <v>0</v>
      </c>
      <c r="N71" s="461">
        <f t="shared" si="28"/>
        <v>0</v>
      </c>
      <c r="O71" s="461">
        <f t="shared" si="28"/>
        <v>0</v>
      </c>
      <c r="P71" s="461">
        <f t="shared" si="28"/>
        <v>0</v>
      </c>
      <c r="Q71" s="461">
        <f t="shared" si="28"/>
        <v>0</v>
      </c>
      <c r="R71" s="461">
        <f t="shared" si="28"/>
        <v>0</v>
      </c>
      <c r="S71" s="461">
        <f t="shared" si="28"/>
        <v>0</v>
      </c>
      <c r="T71" s="461">
        <f t="shared" si="28"/>
        <v>0</v>
      </c>
      <c r="U71" s="461">
        <f t="shared" si="28"/>
        <v>0</v>
      </c>
      <c r="V71" s="461">
        <f t="shared" si="28"/>
        <v>0</v>
      </c>
      <c r="W71" s="461">
        <f t="shared" si="28"/>
        <v>0</v>
      </c>
      <c r="X71" s="461">
        <f t="shared" si="28"/>
        <v>0</v>
      </c>
      <c r="Y71" s="786">
        <f t="shared" si="23"/>
        <v>672891949</v>
      </c>
      <c r="Z71" s="786">
        <f t="shared" si="23"/>
        <v>572000000</v>
      </c>
      <c r="AA71" s="786">
        <f t="shared" si="23"/>
        <v>432000000</v>
      </c>
      <c r="AB71" s="786">
        <f t="shared" si="23"/>
        <v>432000000</v>
      </c>
      <c r="AC71" s="453"/>
    </row>
    <row r="72" spans="1:29" ht="16.5" thickTop="1" thickBot="1" x14ac:dyDescent="0.3">
      <c r="A72" s="456">
        <v>2</v>
      </c>
      <c r="B72" s="456" t="s">
        <v>1354</v>
      </c>
      <c r="C72" s="457" t="s">
        <v>1350</v>
      </c>
      <c r="D72" s="457" t="s">
        <v>1350</v>
      </c>
      <c r="E72" s="457" t="s">
        <v>1345</v>
      </c>
      <c r="F72" s="457" t="s">
        <v>1345</v>
      </c>
      <c r="G72" s="456"/>
      <c r="H72" s="466" t="s">
        <v>1448</v>
      </c>
      <c r="I72" s="458">
        <f>SUM(I73:I74)</f>
        <v>672891949</v>
      </c>
      <c r="J72" s="458">
        <f>SUM(J73:J74)</f>
        <v>572000000</v>
      </c>
      <c r="K72" s="458">
        <f>SUM(K73:K74)</f>
        <v>432000000</v>
      </c>
      <c r="L72" s="458">
        <f>SUM(L73:L74)</f>
        <v>432000000</v>
      </c>
      <c r="M72" s="458">
        <f t="shared" si="28"/>
        <v>0</v>
      </c>
      <c r="N72" s="458">
        <f t="shared" si="28"/>
        <v>0</v>
      </c>
      <c r="O72" s="458">
        <f t="shared" si="28"/>
        <v>0</v>
      </c>
      <c r="P72" s="458">
        <f t="shared" si="28"/>
        <v>0</v>
      </c>
      <c r="Q72" s="458">
        <f t="shared" si="28"/>
        <v>0</v>
      </c>
      <c r="R72" s="458">
        <f t="shared" si="28"/>
        <v>0</v>
      </c>
      <c r="S72" s="458">
        <f t="shared" si="28"/>
        <v>0</v>
      </c>
      <c r="T72" s="458">
        <f t="shared" si="28"/>
        <v>0</v>
      </c>
      <c r="U72" s="458">
        <f t="shared" si="28"/>
        <v>0</v>
      </c>
      <c r="V72" s="458">
        <f t="shared" si="28"/>
        <v>0</v>
      </c>
      <c r="W72" s="458">
        <f t="shared" si="28"/>
        <v>0</v>
      </c>
      <c r="X72" s="458">
        <f t="shared" si="28"/>
        <v>0</v>
      </c>
      <c r="Y72" s="787">
        <f t="shared" si="23"/>
        <v>672891949</v>
      </c>
      <c r="Z72" s="787">
        <f t="shared" si="23"/>
        <v>572000000</v>
      </c>
      <c r="AA72" s="787">
        <f t="shared" si="23"/>
        <v>432000000</v>
      </c>
      <c r="AB72" s="787">
        <f t="shared" si="23"/>
        <v>432000000</v>
      </c>
      <c r="AC72" s="453"/>
    </row>
    <row r="73" spans="1:29" ht="16.5" thickTop="1" thickBot="1" x14ac:dyDescent="0.3">
      <c r="A73" s="456">
        <v>2</v>
      </c>
      <c r="B73" s="456" t="s">
        <v>1354</v>
      </c>
      <c r="C73" s="457" t="s">
        <v>1350</v>
      </c>
      <c r="D73" s="457" t="s">
        <v>1350</v>
      </c>
      <c r="E73" s="457" t="s">
        <v>1345</v>
      </c>
      <c r="F73" s="457" t="s">
        <v>1345</v>
      </c>
      <c r="G73" s="457" t="s">
        <v>1345</v>
      </c>
      <c r="H73" s="466" t="s">
        <v>2524</v>
      </c>
      <c r="I73" s="458">
        <v>54219081</v>
      </c>
      <c r="J73" s="458"/>
      <c r="K73" s="458"/>
      <c r="L73" s="458"/>
      <c r="M73" s="458"/>
      <c r="N73" s="458"/>
      <c r="O73" s="458"/>
      <c r="P73" s="458"/>
      <c r="Q73" s="458"/>
      <c r="R73" s="458"/>
      <c r="S73" s="458"/>
      <c r="T73" s="458"/>
      <c r="U73" s="458"/>
      <c r="V73" s="458"/>
      <c r="W73" s="458"/>
      <c r="X73" s="458"/>
      <c r="Y73" s="787">
        <f t="shared" si="23"/>
        <v>54219081</v>
      </c>
      <c r="Z73" s="787">
        <f t="shared" si="23"/>
        <v>0</v>
      </c>
      <c r="AA73" s="787">
        <f t="shared" si="23"/>
        <v>0</v>
      </c>
      <c r="AB73" s="787">
        <f t="shared" si="23"/>
        <v>0</v>
      </c>
      <c r="AC73" s="453"/>
    </row>
    <row r="74" spans="1:29" ht="16.5" thickTop="1" thickBot="1" x14ac:dyDescent="0.3">
      <c r="A74" s="456"/>
      <c r="B74" s="456"/>
      <c r="C74" s="457"/>
      <c r="D74" s="457"/>
      <c r="E74" s="457"/>
      <c r="F74" s="457"/>
      <c r="G74" s="457"/>
      <c r="H74" s="466" t="s">
        <v>2525</v>
      </c>
      <c r="I74" s="458">
        <f>606672868+12000000</f>
        <v>618672868</v>
      </c>
      <c r="J74" s="458">
        <v>572000000</v>
      </c>
      <c r="K74" s="458">
        <v>432000000</v>
      </c>
      <c r="L74" s="458">
        <v>432000000</v>
      </c>
      <c r="M74" s="458"/>
      <c r="N74" s="458"/>
      <c r="O74" s="458"/>
      <c r="P74" s="458"/>
      <c r="Q74" s="458"/>
      <c r="R74" s="458"/>
      <c r="S74" s="458"/>
      <c r="T74" s="458"/>
      <c r="U74" s="458"/>
      <c r="V74" s="458"/>
      <c r="W74" s="458"/>
      <c r="X74" s="458"/>
      <c r="Y74" s="787">
        <f>+I74+M74+Q74+U74</f>
        <v>618672868</v>
      </c>
      <c r="Z74" s="787">
        <f>+J74+N74+R74+V74</f>
        <v>572000000</v>
      </c>
      <c r="AA74" s="787">
        <f>+K74+O74+S74+W74</f>
        <v>432000000</v>
      </c>
      <c r="AB74" s="787">
        <f>+L74+P74+T74+X74</f>
        <v>432000000</v>
      </c>
      <c r="AC74" s="453"/>
    </row>
    <row r="75" spans="1:29" ht="16.5" thickTop="1" thickBot="1" x14ac:dyDescent="0.3">
      <c r="A75" s="460">
        <v>2</v>
      </c>
      <c r="B75" s="460" t="s">
        <v>1354</v>
      </c>
      <c r="C75" s="460" t="s">
        <v>1350</v>
      </c>
      <c r="D75" s="460" t="s">
        <v>1354</v>
      </c>
      <c r="E75" s="467"/>
      <c r="F75" s="467"/>
      <c r="G75" s="465"/>
      <c r="H75" s="465" t="s">
        <v>1742</v>
      </c>
      <c r="I75" s="790">
        <f>+I76</f>
        <v>50000000</v>
      </c>
      <c r="J75" s="468">
        <f t="shared" ref="J75:X77" si="29">+J76</f>
        <v>0</v>
      </c>
      <c r="K75" s="468">
        <f t="shared" si="29"/>
        <v>0</v>
      </c>
      <c r="L75" s="468">
        <f t="shared" si="29"/>
        <v>0</v>
      </c>
      <c r="M75" s="468">
        <f t="shared" si="29"/>
        <v>0</v>
      </c>
      <c r="N75" s="468">
        <f t="shared" si="29"/>
        <v>0</v>
      </c>
      <c r="O75" s="468">
        <f t="shared" si="29"/>
        <v>0</v>
      </c>
      <c r="P75" s="468">
        <f t="shared" si="29"/>
        <v>0</v>
      </c>
      <c r="Q75" s="468">
        <f t="shared" si="29"/>
        <v>0</v>
      </c>
      <c r="R75" s="468">
        <f t="shared" si="29"/>
        <v>0</v>
      </c>
      <c r="S75" s="468">
        <f t="shared" si="29"/>
        <v>0</v>
      </c>
      <c r="T75" s="468">
        <f t="shared" si="29"/>
        <v>0</v>
      </c>
      <c r="U75" s="468">
        <f t="shared" si="29"/>
        <v>0</v>
      </c>
      <c r="V75" s="468">
        <f t="shared" si="29"/>
        <v>0</v>
      </c>
      <c r="W75" s="468">
        <f t="shared" si="29"/>
        <v>0</v>
      </c>
      <c r="X75" s="468">
        <f t="shared" si="29"/>
        <v>0</v>
      </c>
      <c r="Y75" s="791">
        <f t="shared" si="23"/>
        <v>50000000</v>
      </c>
      <c r="Z75" s="791">
        <f t="shared" si="23"/>
        <v>0</v>
      </c>
      <c r="AA75" s="791">
        <f t="shared" si="23"/>
        <v>0</v>
      </c>
      <c r="AB75" s="791">
        <f t="shared" si="23"/>
        <v>0</v>
      </c>
      <c r="AC75" s="453"/>
    </row>
    <row r="76" spans="1:29" ht="16.5" thickTop="1" thickBot="1" x14ac:dyDescent="0.3">
      <c r="A76" s="460">
        <v>2</v>
      </c>
      <c r="B76" s="460" t="s">
        <v>1354</v>
      </c>
      <c r="C76" s="460" t="s">
        <v>1350</v>
      </c>
      <c r="D76" s="460" t="s">
        <v>1354</v>
      </c>
      <c r="E76" s="460" t="s">
        <v>1345</v>
      </c>
      <c r="F76" s="460"/>
      <c r="G76" s="460"/>
      <c r="H76" s="465" t="s">
        <v>1447</v>
      </c>
      <c r="I76" s="461">
        <f>+I77</f>
        <v>50000000</v>
      </c>
      <c r="J76" s="461">
        <f t="shared" si="29"/>
        <v>0</v>
      </c>
      <c r="K76" s="461">
        <f t="shared" si="29"/>
        <v>0</v>
      </c>
      <c r="L76" s="461">
        <f t="shared" si="29"/>
        <v>0</v>
      </c>
      <c r="M76" s="461">
        <f t="shared" si="29"/>
        <v>0</v>
      </c>
      <c r="N76" s="461">
        <f t="shared" si="29"/>
        <v>0</v>
      </c>
      <c r="O76" s="461">
        <f t="shared" si="29"/>
        <v>0</v>
      </c>
      <c r="P76" s="461">
        <f t="shared" si="29"/>
        <v>0</v>
      </c>
      <c r="Q76" s="461">
        <f t="shared" si="29"/>
        <v>0</v>
      </c>
      <c r="R76" s="461">
        <f t="shared" si="29"/>
        <v>0</v>
      </c>
      <c r="S76" s="461">
        <f t="shared" si="29"/>
        <v>0</v>
      </c>
      <c r="T76" s="461">
        <f t="shared" si="29"/>
        <v>0</v>
      </c>
      <c r="U76" s="461">
        <f t="shared" si="29"/>
        <v>0</v>
      </c>
      <c r="V76" s="461">
        <f t="shared" si="29"/>
        <v>0</v>
      </c>
      <c r="W76" s="461">
        <f t="shared" si="29"/>
        <v>0</v>
      </c>
      <c r="X76" s="461">
        <f t="shared" si="29"/>
        <v>0</v>
      </c>
      <c r="Y76" s="791">
        <f>+I76+M76+Q76+U76</f>
        <v>50000000</v>
      </c>
      <c r="Z76" s="791">
        <f t="shared" si="23"/>
        <v>0</v>
      </c>
      <c r="AA76" s="791">
        <f t="shared" si="23"/>
        <v>0</v>
      </c>
      <c r="AB76" s="791">
        <f t="shared" si="23"/>
        <v>0</v>
      </c>
      <c r="AC76" s="453"/>
    </row>
    <row r="77" spans="1:29" ht="16.5" thickTop="1" thickBot="1" x14ac:dyDescent="0.3">
      <c r="A77" s="456">
        <v>2</v>
      </c>
      <c r="B77" s="456" t="s">
        <v>1354</v>
      </c>
      <c r="C77" s="457" t="s">
        <v>1350</v>
      </c>
      <c r="D77" s="457" t="s">
        <v>1354</v>
      </c>
      <c r="E77" s="457" t="s">
        <v>1345</v>
      </c>
      <c r="F77" s="457" t="s">
        <v>1345</v>
      </c>
      <c r="G77" s="456"/>
      <c r="H77" s="466" t="s">
        <v>1448</v>
      </c>
      <c r="I77" s="505">
        <f>SUM(I78:I78)</f>
        <v>50000000</v>
      </c>
      <c r="J77" s="505">
        <f>SUM(J78:J78)</f>
        <v>0</v>
      </c>
      <c r="K77" s="505">
        <f>SUM(K78:K78)</f>
        <v>0</v>
      </c>
      <c r="L77" s="505">
        <f>SUM(L78:L78)</f>
        <v>0</v>
      </c>
      <c r="M77" s="505">
        <f>SUM(M78:M78)</f>
        <v>0</v>
      </c>
      <c r="N77" s="505">
        <f t="shared" si="29"/>
        <v>0</v>
      </c>
      <c r="O77" s="505">
        <f t="shared" si="29"/>
        <v>0</v>
      </c>
      <c r="P77" s="505">
        <f t="shared" si="29"/>
        <v>0</v>
      </c>
      <c r="Q77" s="505">
        <f t="shared" si="29"/>
        <v>0</v>
      </c>
      <c r="R77" s="505">
        <f t="shared" si="29"/>
        <v>0</v>
      </c>
      <c r="S77" s="505">
        <f t="shared" si="29"/>
        <v>0</v>
      </c>
      <c r="T77" s="505">
        <f t="shared" si="29"/>
        <v>0</v>
      </c>
      <c r="U77" s="505">
        <f t="shared" si="29"/>
        <v>0</v>
      </c>
      <c r="V77" s="505">
        <f t="shared" si="29"/>
        <v>0</v>
      </c>
      <c r="W77" s="505">
        <f t="shared" si="29"/>
        <v>0</v>
      </c>
      <c r="X77" s="505">
        <f t="shared" si="29"/>
        <v>0</v>
      </c>
      <c r="Y77" s="787">
        <f t="shared" si="23"/>
        <v>50000000</v>
      </c>
      <c r="Z77" s="787">
        <f t="shared" si="23"/>
        <v>0</v>
      </c>
      <c r="AA77" s="787">
        <f t="shared" si="23"/>
        <v>0</v>
      </c>
      <c r="AB77" s="787">
        <f t="shared" si="23"/>
        <v>0</v>
      </c>
      <c r="AC77" s="453"/>
    </row>
    <row r="78" spans="1:29" ht="16.5" thickTop="1" thickBot="1" x14ac:dyDescent="0.3">
      <c r="A78" s="456">
        <v>2</v>
      </c>
      <c r="B78" s="456" t="s">
        <v>1354</v>
      </c>
      <c r="C78" s="457" t="s">
        <v>1350</v>
      </c>
      <c r="D78" s="457" t="s">
        <v>1354</v>
      </c>
      <c r="E78" s="457" t="s">
        <v>1345</v>
      </c>
      <c r="F78" s="457" t="s">
        <v>1345</v>
      </c>
      <c r="G78" s="457" t="s">
        <v>1345</v>
      </c>
      <c r="H78" s="466" t="s">
        <v>2526</v>
      </c>
      <c r="I78" s="458">
        <v>50000000</v>
      </c>
      <c r="J78" s="458">
        <v>0</v>
      </c>
      <c r="K78" s="458">
        <v>0</v>
      </c>
      <c r="L78" s="458">
        <v>0</v>
      </c>
      <c r="M78" s="458">
        <v>0</v>
      </c>
      <c r="N78" s="458"/>
      <c r="O78" s="458"/>
      <c r="P78" s="458"/>
      <c r="Q78" s="458"/>
      <c r="R78" s="458"/>
      <c r="S78" s="458"/>
      <c r="T78" s="458"/>
      <c r="U78" s="458"/>
      <c r="V78" s="458"/>
      <c r="W78" s="458"/>
      <c r="X78" s="458"/>
      <c r="Y78" s="787">
        <f t="shared" si="23"/>
        <v>50000000</v>
      </c>
      <c r="Z78" s="787">
        <f t="shared" si="23"/>
        <v>0</v>
      </c>
      <c r="AA78" s="787">
        <f t="shared" si="23"/>
        <v>0</v>
      </c>
      <c r="AB78" s="787">
        <f t="shared" si="23"/>
        <v>0</v>
      </c>
      <c r="AC78" s="453"/>
    </row>
    <row r="79" spans="1:29" ht="16.5" thickTop="1" thickBot="1" x14ac:dyDescent="0.3">
      <c r="A79" s="460">
        <v>2</v>
      </c>
      <c r="B79" s="460" t="s">
        <v>1354</v>
      </c>
      <c r="C79" s="460" t="s">
        <v>1350</v>
      </c>
      <c r="D79" s="460" t="s">
        <v>1355</v>
      </c>
      <c r="E79" s="467"/>
      <c r="F79" s="467"/>
      <c r="G79" s="465"/>
      <c r="H79" s="465" t="s">
        <v>1743</v>
      </c>
      <c r="I79" s="790">
        <f>+I80</f>
        <v>4566522000</v>
      </c>
      <c r="J79" s="468">
        <f t="shared" ref="J79:X81" si="30">+J80</f>
        <v>3539063199</v>
      </c>
      <c r="K79" s="468">
        <f t="shared" si="30"/>
        <v>3432337210</v>
      </c>
      <c r="L79" s="468">
        <f t="shared" si="30"/>
        <v>3432097210</v>
      </c>
      <c r="M79" s="468">
        <f t="shared" si="30"/>
        <v>0</v>
      </c>
      <c r="N79" s="468">
        <f t="shared" si="30"/>
        <v>0</v>
      </c>
      <c r="O79" s="468">
        <f t="shared" si="30"/>
        <v>0</v>
      </c>
      <c r="P79" s="468">
        <f t="shared" si="30"/>
        <v>0</v>
      </c>
      <c r="Q79" s="468">
        <f t="shared" si="30"/>
        <v>0</v>
      </c>
      <c r="R79" s="468">
        <f t="shared" si="30"/>
        <v>0</v>
      </c>
      <c r="S79" s="468">
        <f t="shared" si="30"/>
        <v>0</v>
      </c>
      <c r="T79" s="468">
        <f t="shared" si="30"/>
        <v>0</v>
      </c>
      <c r="U79" s="468">
        <f t="shared" si="30"/>
        <v>0</v>
      </c>
      <c r="V79" s="468">
        <f t="shared" si="30"/>
        <v>0</v>
      </c>
      <c r="W79" s="468">
        <f t="shared" si="30"/>
        <v>0</v>
      </c>
      <c r="X79" s="468">
        <f t="shared" si="30"/>
        <v>0</v>
      </c>
      <c r="Y79" s="791">
        <f t="shared" si="23"/>
        <v>4566522000</v>
      </c>
      <c r="Z79" s="791">
        <f t="shared" si="23"/>
        <v>3539063199</v>
      </c>
      <c r="AA79" s="791">
        <f t="shared" si="23"/>
        <v>3432337210</v>
      </c>
      <c r="AB79" s="791">
        <f t="shared" si="23"/>
        <v>3432097210</v>
      </c>
      <c r="AC79" s="453"/>
    </row>
    <row r="80" spans="1:29" ht="16.5" thickTop="1" thickBot="1" x14ac:dyDescent="0.3">
      <c r="A80" s="460">
        <v>2</v>
      </c>
      <c r="B80" s="460" t="s">
        <v>1354</v>
      </c>
      <c r="C80" s="460" t="s">
        <v>1350</v>
      </c>
      <c r="D80" s="460" t="s">
        <v>1355</v>
      </c>
      <c r="E80" s="460" t="s">
        <v>1345</v>
      </c>
      <c r="F80" s="460"/>
      <c r="G80" s="460"/>
      <c r="H80" s="465" t="s">
        <v>1447</v>
      </c>
      <c r="I80" s="461">
        <f>+I81</f>
        <v>4566522000</v>
      </c>
      <c r="J80" s="461">
        <f t="shared" si="30"/>
        <v>3539063199</v>
      </c>
      <c r="K80" s="461">
        <f t="shared" si="30"/>
        <v>3432337210</v>
      </c>
      <c r="L80" s="461">
        <f t="shared" si="30"/>
        <v>3432097210</v>
      </c>
      <c r="M80" s="461">
        <f t="shared" si="30"/>
        <v>0</v>
      </c>
      <c r="N80" s="461">
        <f t="shared" si="30"/>
        <v>0</v>
      </c>
      <c r="O80" s="461">
        <f t="shared" si="30"/>
        <v>0</v>
      </c>
      <c r="P80" s="461">
        <f t="shared" si="30"/>
        <v>0</v>
      </c>
      <c r="Q80" s="461">
        <f t="shared" si="30"/>
        <v>0</v>
      </c>
      <c r="R80" s="461">
        <f t="shared" si="30"/>
        <v>0</v>
      </c>
      <c r="S80" s="461">
        <f t="shared" si="30"/>
        <v>0</v>
      </c>
      <c r="T80" s="461">
        <f t="shared" si="30"/>
        <v>0</v>
      </c>
      <c r="U80" s="461">
        <f t="shared" si="30"/>
        <v>0</v>
      </c>
      <c r="V80" s="461">
        <f t="shared" si="30"/>
        <v>0</v>
      </c>
      <c r="W80" s="461">
        <f t="shared" si="30"/>
        <v>0</v>
      </c>
      <c r="X80" s="461">
        <f t="shared" si="30"/>
        <v>0</v>
      </c>
      <c r="Y80" s="791">
        <f>+I80+M80+Q80+U80</f>
        <v>4566522000</v>
      </c>
      <c r="Z80" s="791">
        <f>+J80+N80+R80+V80</f>
        <v>3539063199</v>
      </c>
      <c r="AA80" s="791">
        <f>+K80+O80+S80+W80</f>
        <v>3432337210</v>
      </c>
      <c r="AB80" s="791">
        <f>+L80+P80+T80+X80</f>
        <v>3432097210</v>
      </c>
      <c r="AC80" s="453"/>
    </row>
    <row r="81" spans="1:29" ht="16.5" thickTop="1" thickBot="1" x14ac:dyDescent="0.3">
      <c r="A81" s="456">
        <v>2</v>
      </c>
      <c r="B81" s="456" t="s">
        <v>1354</v>
      </c>
      <c r="C81" s="457" t="s">
        <v>1350</v>
      </c>
      <c r="D81" s="457" t="s">
        <v>1355</v>
      </c>
      <c r="E81" s="457" t="s">
        <v>1345</v>
      </c>
      <c r="F81" s="457" t="s">
        <v>1345</v>
      </c>
      <c r="G81" s="456"/>
      <c r="H81" s="466" t="s">
        <v>1448</v>
      </c>
      <c r="I81" s="505">
        <f>SUM(I82:I84)</f>
        <v>4566522000</v>
      </c>
      <c r="J81" s="505">
        <f>SUM(J82:J84)</f>
        <v>3539063199</v>
      </c>
      <c r="K81" s="505">
        <f>SUM(K82:K84)</f>
        <v>3432337210</v>
      </c>
      <c r="L81" s="505">
        <f>SUM(L82:L84)</f>
        <v>3432097210</v>
      </c>
      <c r="M81" s="505">
        <f t="shared" si="30"/>
        <v>0</v>
      </c>
      <c r="N81" s="505">
        <f t="shared" si="30"/>
        <v>0</v>
      </c>
      <c r="O81" s="505">
        <f t="shared" si="30"/>
        <v>0</v>
      </c>
      <c r="P81" s="505">
        <f t="shared" si="30"/>
        <v>0</v>
      </c>
      <c r="Q81" s="505">
        <f t="shared" si="30"/>
        <v>0</v>
      </c>
      <c r="R81" s="505">
        <f t="shared" si="30"/>
        <v>0</v>
      </c>
      <c r="S81" s="505">
        <f t="shared" si="30"/>
        <v>0</v>
      </c>
      <c r="T81" s="505">
        <f t="shared" si="30"/>
        <v>0</v>
      </c>
      <c r="U81" s="505">
        <f t="shared" si="30"/>
        <v>0</v>
      </c>
      <c r="V81" s="505">
        <f t="shared" si="30"/>
        <v>0</v>
      </c>
      <c r="W81" s="505">
        <f t="shared" si="30"/>
        <v>0</v>
      </c>
      <c r="X81" s="505">
        <f t="shared" si="30"/>
        <v>0</v>
      </c>
      <c r="Y81" s="787">
        <f t="shared" ref="Y81:AB98" si="31">+I81+M81+Q81+U81</f>
        <v>4566522000</v>
      </c>
      <c r="Z81" s="787">
        <f t="shared" si="31"/>
        <v>3539063199</v>
      </c>
      <c r="AA81" s="787">
        <f t="shared" si="31"/>
        <v>3432337210</v>
      </c>
      <c r="AB81" s="787">
        <f t="shared" si="31"/>
        <v>3432097210</v>
      </c>
      <c r="AC81" s="453"/>
    </row>
    <row r="82" spans="1:29" ht="16.5" thickTop="1" thickBot="1" x14ac:dyDescent="0.3">
      <c r="A82" s="456">
        <v>2</v>
      </c>
      <c r="B82" s="456" t="s">
        <v>1354</v>
      </c>
      <c r="C82" s="457" t="s">
        <v>1350</v>
      </c>
      <c r="D82" s="457" t="s">
        <v>1355</v>
      </c>
      <c r="E82" s="457" t="s">
        <v>1345</v>
      </c>
      <c r="F82" s="457" t="s">
        <v>1345</v>
      </c>
      <c r="G82" s="457" t="s">
        <v>1345</v>
      </c>
      <c r="H82" s="466" t="s">
        <v>2527</v>
      </c>
      <c r="I82" s="458">
        <f>3976522000-30000000</f>
        <v>3946522000</v>
      </c>
      <c r="J82" s="458">
        <v>2957200000</v>
      </c>
      <c r="K82" s="792">
        <v>2888200000</v>
      </c>
      <c r="L82" s="792">
        <v>2888200000</v>
      </c>
      <c r="M82" s="458"/>
      <c r="N82" s="458"/>
      <c r="O82" s="458"/>
      <c r="P82" s="458"/>
      <c r="Q82" s="458"/>
      <c r="R82" s="458"/>
      <c r="S82" s="458"/>
      <c r="T82" s="458"/>
      <c r="U82" s="458"/>
      <c r="V82" s="458"/>
      <c r="W82" s="458"/>
      <c r="X82" s="458"/>
      <c r="Y82" s="787">
        <f t="shared" si="31"/>
        <v>3946522000</v>
      </c>
      <c r="Z82" s="787">
        <f t="shared" si="31"/>
        <v>2957200000</v>
      </c>
      <c r="AA82" s="787">
        <f t="shared" si="31"/>
        <v>2888200000</v>
      </c>
      <c r="AB82" s="787">
        <f t="shared" si="31"/>
        <v>2888200000</v>
      </c>
      <c r="AC82" s="453"/>
    </row>
    <row r="83" spans="1:29" ht="16.5" thickTop="1" thickBot="1" x14ac:dyDescent="0.3">
      <c r="A83" s="456"/>
      <c r="B83" s="456"/>
      <c r="C83" s="457"/>
      <c r="D83" s="457"/>
      <c r="E83" s="457"/>
      <c r="F83" s="457"/>
      <c r="G83" s="457"/>
      <c r="H83" s="466" t="s">
        <v>2528</v>
      </c>
      <c r="I83" s="458">
        <v>180000000</v>
      </c>
      <c r="J83" s="458">
        <v>144609959</v>
      </c>
      <c r="K83" s="792">
        <v>144609959</v>
      </c>
      <c r="L83" s="792">
        <v>144369959</v>
      </c>
      <c r="M83" s="458"/>
      <c r="N83" s="458"/>
      <c r="O83" s="458"/>
      <c r="P83" s="458"/>
      <c r="Q83" s="458"/>
      <c r="R83" s="458"/>
      <c r="S83" s="458"/>
      <c r="T83" s="458"/>
      <c r="U83" s="458"/>
      <c r="V83" s="458"/>
      <c r="W83" s="458"/>
      <c r="X83" s="458"/>
      <c r="Y83" s="787">
        <f t="shared" si="31"/>
        <v>180000000</v>
      </c>
      <c r="Z83" s="787">
        <f t="shared" si="31"/>
        <v>144609959</v>
      </c>
      <c r="AA83" s="787">
        <f t="shared" si="31"/>
        <v>144609959</v>
      </c>
      <c r="AB83" s="787">
        <f t="shared" si="31"/>
        <v>144369959</v>
      </c>
      <c r="AC83" s="453"/>
    </row>
    <row r="84" spans="1:29" ht="16.5" thickTop="1" thickBot="1" x14ac:dyDescent="0.3">
      <c r="A84" s="456"/>
      <c r="B84" s="456"/>
      <c r="C84" s="457"/>
      <c r="D84" s="457"/>
      <c r="E84" s="457"/>
      <c r="F84" s="457"/>
      <c r="G84" s="457"/>
      <c r="H84" s="466" t="s">
        <v>1815</v>
      </c>
      <c r="I84" s="458">
        <v>440000000</v>
      </c>
      <c r="J84" s="458">
        <v>437253240</v>
      </c>
      <c r="K84" s="792">
        <v>399527251</v>
      </c>
      <c r="L84" s="792">
        <v>399527251</v>
      </c>
      <c r="M84" s="458"/>
      <c r="N84" s="458"/>
      <c r="O84" s="458"/>
      <c r="P84" s="458"/>
      <c r="Q84" s="458"/>
      <c r="R84" s="458"/>
      <c r="S84" s="458"/>
      <c r="T84" s="458"/>
      <c r="U84" s="458"/>
      <c r="V84" s="458"/>
      <c r="W84" s="458"/>
      <c r="X84" s="458"/>
      <c r="Y84" s="787">
        <f t="shared" si="31"/>
        <v>440000000</v>
      </c>
      <c r="Z84" s="787">
        <f t="shared" si="31"/>
        <v>437253240</v>
      </c>
      <c r="AA84" s="787">
        <f t="shared" si="31"/>
        <v>399527251</v>
      </c>
      <c r="AB84" s="787">
        <f t="shared" si="31"/>
        <v>399527251</v>
      </c>
      <c r="AC84" s="453"/>
    </row>
    <row r="85" spans="1:29" ht="16.5" thickTop="1" thickBot="1" x14ac:dyDescent="0.3">
      <c r="A85" s="460">
        <v>2</v>
      </c>
      <c r="B85" s="460" t="s">
        <v>1354</v>
      </c>
      <c r="C85" s="460" t="s">
        <v>1350</v>
      </c>
      <c r="D85" s="506" t="s">
        <v>1358</v>
      </c>
      <c r="E85" s="467"/>
      <c r="F85" s="467"/>
      <c r="G85" s="465"/>
      <c r="H85" s="465" t="s">
        <v>1897</v>
      </c>
      <c r="I85" s="790">
        <f>+I86</f>
        <v>100000000</v>
      </c>
      <c r="J85" s="790">
        <f>+J86</f>
        <v>100000000</v>
      </c>
      <c r="K85" s="468">
        <f t="shared" ref="J85:X87" si="32">+K86</f>
        <v>0</v>
      </c>
      <c r="L85" s="468">
        <f t="shared" si="32"/>
        <v>0</v>
      </c>
      <c r="M85" s="468">
        <f t="shared" si="32"/>
        <v>0</v>
      </c>
      <c r="N85" s="468">
        <f t="shared" si="32"/>
        <v>0</v>
      </c>
      <c r="O85" s="468">
        <f t="shared" si="32"/>
        <v>0</v>
      </c>
      <c r="P85" s="468">
        <f t="shared" si="32"/>
        <v>0</v>
      </c>
      <c r="Q85" s="468">
        <f t="shared" si="32"/>
        <v>0</v>
      </c>
      <c r="R85" s="468">
        <f t="shared" si="32"/>
        <v>0</v>
      </c>
      <c r="S85" s="468">
        <f t="shared" si="32"/>
        <v>0</v>
      </c>
      <c r="T85" s="468">
        <f t="shared" si="32"/>
        <v>0</v>
      </c>
      <c r="U85" s="468">
        <f t="shared" si="32"/>
        <v>0</v>
      </c>
      <c r="V85" s="468">
        <f t="shared" si="32"/>
        <v>0</v>
      </c>
      <c r="W85" s="468">
        <f t="shared" si="32"/>
        <v>0</v>
      </c>
      <c r="X85" s="468">
        <f t="shared" si="32"/>
        <v>0</v>
      </c>
      <c r="Y85" s="791">
        <f>+I85+M85+Q85+U85</f>
        <v>100000000</v>
      </c>
      <c r="Z85" s="791">
        <f t="shared" si="31"/>
        <v>100000000</v>
      </c>
      <c r="AA85" s="791">
        <f t="shared" si="31"/>
        <v>0</v>
      </c>
      <c r="AB85" s="791">
        <f t="shared" si="31"/>
        <v>0</v>
      </c>
      <c r="AC85" s="453"/>
    </row>
    <row r="86" spans="1:29" ht="16.5" thickTop="1" thickBot="1" x14ac:dyDescent="0.3">
      <c r="A86" s="460">
        <v>2</v>
      </c>
      <c r="B86" s="460" t="s">
        <v>1354</v>
      </c>
      <c r="C86" s="460" t="s">
        <v>1350</v>
      </c>
      <c r="D86" s="506" t="s">
        <v>1358</v>
      </c>
      <c r="E86" s="460" t="s">
        <v>1345</v>
      </c>
      <c r="F86" s="460"/>
      <c r="G86" s="460"/>
      <c r="H86" s="465" t="s">
        <v>1447</v>
      </c>
      <c r="I86" s="461">
        <f>+I87</f>
        <v>100000000</v>
      </c>
      <c r="J86" s="461">
        <f t="shared" si="32"/>
        <v>100000000</v>
      </c>
      <c r="K86" s="461">
        <f t="shared" si="32"/>
        <v>0</v>
      </c>
      <c r="L86" s="461">
        <f t="shared" si="32"/>
        <v>0</v>
      </c>
      <c r="M86" s="461">
        <f t="shared" si="32"/>
        <v>0</v>
      </c>
      <c r="N86" s="461">
        <f t="shared" si="32"/>
        <v>0</v>
      </c>
      <c r="O86" s="461">
        <f t="shared" si="32"/>
        <v>0</v>
      </c>
      <c r="P86" s="461">
        <f t="shared" si="32"/>
        <v>0</v>
      </c>
      <c r="Q86" s="461">
        <f t="shared" si="32"/>
        <v>0</v>
      </c>
      <c r="R86" s="461">
        <f t="shared" si="32"/>
        <v>0</v>
      </c>
      <c r="S86" s="461">
        <f t="shared" si="32"/>
        <v>0</v>
      </c>
      <c r="T86" s="461">
        <f t="shared" si="32"/>
        <v>0</v>
      </c>
      <c r="U86" s="461">
        <f t="shared" si="32"/>
        <v>0</v>
      </c>
      <c r="V86" s="461">
        <f t="shared" si="32"/>
        <v>0</v>
      </c>
      <c r="W86" s="461">
        <f t="shared" si="32"/>
        <v>0</v>
      </c>
      <c r="X86" s="461">
        <f t="shared" si="32"/>
        <v>0</v>
      </c>
      <c r="Y86" s="791">
        <f t="shared" si="31"/>
        <v>100000000</v>
      </c>
      <c r="Z86" s="791">
        <f t="shared" si="31"/>
        <v>100000000</v>
      </c>
      <c r="AA86" s="791">
        <f t="shared" si="31"/>
        <v>0</v>
      </c>
      <c r="AB86" s="791">
        <f t="shared" si="31"/>
        <v>0</v>
      </c>
      <c r="AC86" s="453"/>
    </row>
    <row r="87" spans="1:29" ht="16.5" thickTop="1" thickBot="1" x14ac:dyDescent="0.3">
      <c r="A87" s="456">
        <v>2</v>
      </c>
      <c r="B87" s="456" t="s">
        <v>1354</v>
      </c>
      <c r="C87" s="457" t="s">
        <v>1350</v>
      </c>
      <c r="D87" s="507" t="s">
        <v>1358</v>
      </c>
      <c r="E87" s="457" t="s">
        <v>1345</v>
      </c>
      <c r="F87" s="457" t="s">
        <v>1345</v>
      </c>
      <c r="G87" s="456"/>
      <c r="H87" s="466" t="s">
        <v>1448</v>
      </c>
      <c r="I87" s="505">
        <f>SUM(I88:I88)</f>
        <v>100000000</v>
      </c>
      <c r="J87" s="505">
        <f>SUM(J88:J88)</f>
        <v>100000000</v>
      </c>
      <c r="K87" s="505">
        <f>SUM(K88:K88)</f>
        <v>0</v>
      </c>
      <c r="L87" s="505">
        <f>SUM(L88:L88)</f>
        <v>0</v>
      </c>
      <c r="M87" s="505">
        <f>SUM(M88:M88)</f>
        <v>0</v>
      </c>
      <c r="N87" s="505">
        <f t="shared" si="32"/>
        <v>0</v>
      </c>
      <c r="O87" s="505">
        <f t="shared" si="32"/>
        <v>0</v>
      </c>
      <c r="P87" s="505">
        <f t="shared" si="32"/>
        <v>0</v>
      </c>
      <c r="Q87" s="505">
        <f t="shared" si="32"/>
        <v>0</v>
      </c>
      <c r="R87" s="505">
        <f t="shared" si="32"/>
        <v>0</v>
      </c>
      <c r="S87" s="505">
        <f t="shared" si="32"/>
        <v>0</v>
      </c>
      <c r="T87" s="505">
        <f t="shared" si="32"/>
        <v>0</v>
      </c>
      <c r="U87" s="505">
        <f t="shared" si="32"/>
        <v>0</v>
      </c>
      <c r="V87" s="505">
        <f t="shared" si="32"/>
        <v>0</v>
      </c>
      <c r="W87" s="505">
        <f t="shared" si="32"/>
        <v>0</v>
      </c>
      <c r="X87" s="505">
        <f t="shared" si="32"/>
        <v>0</v>
      </c>
      <c r="Y87" s="787">
        <f t="shared" si="31"/>
        <v>100000000</v>
      </c>
      <c r="Z87" s="787">
        <f t="shared" si="31"/>
        <v>100000000</v>
      </c>
      <c r="AA87" s="787">
        <f t="shared" si="31"/>
        <v>0</v>
      </c>
      <c r="AB87" s="787">
        <f t="shared" si="31"/>
        <v>0</v>
      </c>
      <c r="AC87" s="453"/>
    </row>
    <row r="88" spans="1:29" ht="16.5" thickTop="1" thickBot="1" x14ac:dyDescent="0.3">
      <c r="A88" s="456">
        <v>2</v>
      </c>
      <c r="B88" s="456" t="s">
        <v>1354</v>
      </c>
      <c r="C88" s="457" t="s">
        <v>1350</v>
      </c>
      <c r="D88" s="507" t="s">
        <v>1358</v>
      </c>
      <c r="E88" s="457" t="s">
        <v>1345</v>
      </c>
      <c r="F88" s="457" t="s">
        <v>1345</v>
      </c>
      <c r="G88" s="457" t="s">
        <v>1345</v>
      </c>
      <c r="H88" s="466" t="s">
        <v>2529</v>
      </c>
      <c r="I88" s="458">
        <v>100000000</v>
      </c>
      <c r="J88" s="458">
        <v>100000000</v>
      </c>
      <c r="K88" s="458">
        <v>0</v>
      </c>
      <c r="L88" s="458">
        <v>0</v>
      </c>
      <c r="M88" s="458">
        <v>0</v>
      </c>
      <c r="N88" s="458"/>
      <c r="O88" s="458"/>
      <c r="P88" s="458"/>
      <c r="Q88" s="458"/>
      <c r="R88" s="458"/>
      <c r="S88" s="458"/>
      <c r="T88" s="458"/>
      <c r="U88" s="458"/>
      <c r="V88" s="458"/>
      <c r="W88" s="458"/>
      <c r="X88" s="458"/>
      <c r="Y88" s="787">
        <f t="shared" si="31"/>
        <v>100000000</v>
      </c>
      <c r="Z88" s="787">
        <f t="shared" si="31"/>
        <v>100000000</v>
      </c>
      <c r="AA88" s="787">
        <f t="shared" si="31"/>
        <v>0</v>
      </c>
      <c r="AB88" s="787">
        <f t="shared" si="31"/>
        <v>0</v>
      </c>
      <c r="AC88" s="453"/>
    </row>
    <row r="89" spans="1:29" ht="16.5" thickTop="1" thickBot="1" x14ac:dyDescent="0.3">
      <c r="A89" s="460">
        <v>2</v>
      </c>
      <c r="B89" s="460" t="s">
        <v>1354</v>
      </c>
      <c r="C89" s="460" t="s">
        <v>1350</v>
      </c>
      <c r="D89" s="460" t="s">
        <v>1359</v>
      </c>
      <c r="E89" s="467"/>
      <c r="F89" s="467"/>
      <c r="G89" s="465"/>
      <c r="H89" s="465" t="s">
        <v>1744</v>
      </c>
      <c r="I89" s="790">
        <f>+I90</f>
        <v>1285498071</v>
      </c>
      <c r="J89" s="468">
        <f t="shared" ref="J89:X91" si="33">+J90</f>
        <v>1075218155</v>
      </c>
      <c r="K89" s="468">
        <f t="shared" si="33"/>
        <v>827178846</v>
      </c>
      <c r="L89" s="468">
        <f t="shared" si="33"/>
        <v>826938846</v>
      </c>
      <c r="M89" s="468">
        <f t="shared" si="33"/>
        <v>0</v>
      </c>
      <c r="N89" s="468">
        <f t="shared" si="33"/>
        <v>0</v>
      </c>
      <c r="O89" s="468">
        <f t="shared" si="33"/>
        <v>0</v>
      </c>
      <c r="P89" s="468">
        <f t="shared" si="33"/>
        <v>0</v>
      </c>
      <c r="Q89" s="468">
        <f t="shared" si="33"/>
        <v>0</v>
      </c>
      <c r="R89" s="468">
        <f t="shared" si="33"/>
        <v>0</v>
      </c>
      <c r="S89" s="468">
        <f t="shared" si="33"/>
        <v>0</v>
      </c>
      <c r="T89" s="468">
        <f t="shared" si="33"/>
        <v>0</v>
      </c>
      <c r="U89" s="468">
        <f t="shared" si="33"/>
        <v>0</v>
      </c>
      <c r="V89" s="468">
        <f t="shared" si="33"/>
        <v>0</v>
      </c>
      <c r="W89" s="468">
        <f t="shared" si="33"/>
        <v>0</v>
      </c>
      <c r="X89" s="468">
        <f t="shared" si="33"/>
        <v>0</v>
      </c>
      <c r="Y89" s="791">
        <f t="shared" si="31"/>
        <v>1285498071</v>
      </c>
      <c r="Z89" s="791">
        <f t="shared" si="31"/>
        <v>1075218155</v>
      </c>
      <c r="AA89" s="791">
        <f t="shared" si="31"/>
        <v>827178846</v>
      </c>
      <c r="AB89" s="791">
        <f t="shared" si="31"/>
        <v>826938846</v>
      </c>
      <c r="AC89" s="453"/>
    </row>
    <row r="90" spans="1:29" ht="16.5" thickTop="1" thickBot="1" x14ac:dyDescent="0.3">
      <c r="A90" s="460">
        <v>2</v>
      </c>
      <c r="B90" s="460" t="s">
        <v>1354</v>
      </c>
      <c r="C90" s="460" t="s">
        <v>1350</v>
      </c>
      <c r="D90" s="460" t="s">
        <v>1359</v>
      </c>
      <c r="E90" s="460" t="s">
        <v>1345</v>
      </c>
      <c r="F90" s="460"/>
      <c r="G90" s="460"/>
      <c r="H90" s="465" t="s">
        <v>1447</v>
      </c>
      <c r="I90" s="461">
        <f>+I91</f>
        <v>1285498071</v>
      </c>
      <c r="J90" s="461">
        <f t="shared" si="33"/>
        <v>1075218155</v>
      </c>
      <c r="K90" s="461">
        <f t="shared" si="33"/>
        <v>827178846</v>
      </c>
      <c r="L90" s="461">
        <f t="shared" si="33"/>
        <v>826938846</v>
      </c>
      <c r="M90" s="461">
        <f t="shared" si="33"/>
        <v>0</v>
      </c>
      <c r="N90" s="461">
        <f t="shared" si="33"/>
        <v>0</v>
      </c>
      <c r="O90" s="461">
        <f t="shared" si="33"/>
        <v>0</v>
      </c>
      <c r="P90" s="461">
        <f t="shared" si="33"/>
        <v>0</v>
      </c>
      <c r="Q90" s="461">
        <f t="shared" si="33"/>
        <v>0</v>
      </c>
      <c r="R90" s="461">
        <f t="shared" si="33"/>
        <v>0</v>
      </c>
      <c r="S90" s="461">
        <f t="shared" si="33"/>
        <v>0</v>
      </c>
      <c r="T90" s="461">
        <f t="shared" si="33"/>
        <v>0</v>
      </c>
      <c r="U90" s="461">
        <f t="shared" si="33"/>
        <v>0</v>
      </c>
      <c r="V90" s="461">
        <f t="shared" si="33"/>
        <v>0</v>
      </c>
      <c r="W90" s="461">
        <f t="shared" si="33"/>
        <v>0</v>
      </c>
      <c r="X90" s="461">
        <f t="shared" si="33"/>
        <v>0</v>
      </c>
      <c r="Y90" s="791">
        <f t="shared" si="31"/>
        <v>1285498071</v>
      </c>
      <c r="Z90" s="791">
        <f t="shared" si="31"/>
        <v>1075218155</v>
      </c>
      <c r="AA90" s="791">
        <f t="shared" si="31"/>
        <v>827178846</v>
      </c>
      <c r="AB90" s="791">
        <f t="shared" si="31"/>
        <v>826938846</v>
      </c>
      <c r="AC90" s="453"/>
    </row>
    <row r="91" spans="1:29" ht="16.5" thickTop="1" thickBot="1" x14ac:dyDescent="0.3">
      <c r="A91" s="456">
        <v>2</v>
      </c>
      <c r="B91" s="456" t="s">
        <v>1354</v>
      </c>
      <c r="C91" s="457" t="s">
        <v>1350</v>
      </c>
      <c r="D91" s="457" t="s">
        <v>1359</v>
      </c>
      <c r="E91" s="457" t="s">
        <v>1345</v>
      </c>
      <c r="F91" s="457" t="s">
        <v>1345</v>
      </c>
      <c r="G91" s="456"/>
      <c r="H91" s="466" t="s">
        <v>1448</v>
      </c>
      <c r="I91" s="505">
        <f>SUM(I92:I93)</f>
        <v>1285498071</v>
      </c>
      <c r="J91" s="505">
        <f>SUM(J92:J93)</f>
        <v>1075218155</v>
      </c>
      <c r="K91" s="505">
        <f>SUM(K92:K93)</f>
        <v>827178846</v>
      </c>
      <c r="L91" s="505">
        <f>SUM(L92:L93)</f>
        <v>826938846</v>
      </c>
      <c r="M91" s="505">
        <f t="shared" si="33"/>
        <v>0</v>
      </c>
      <c r="N91" s="505">
        <f t="shared" si="33"/>
        <v>0</v>
      </c>
      <c r="O91" s="505">
        <f t="shared" si="33"/>
        <v>0</v>
      </c>
      <c r="P91" s="505">
        <f t="shared" si="33"/>
        <v>0</v>
      </c>
      <c r="Q91" s="505">
        <f t="shared" si="33"/>
        <v>0</v>
      </c>
      <c r="R91" s="505">
        <f t="shared" si="33"/>
        <v>0</v>
      </c>
      <c r="S91" s="505">
        <f t="shared" si="33"/>
        <v>0</v>
      </c>
      <c r="T91" s="505">
        <f t="shared" si="33"/>
        <v>0</v>
      </c>
      <c r="U91" s="505">
        <f t="shared" si="33"/>
        <v>0</v>
      </c>
      <c r="V91" s="505">
        <f t="shared" si="33"/>
        <v>0</v>
      </c>
      <c r="W91" s="505">
        <f t="shared" si="33"/>
        <v>0</v>
      </c>
      <c r="X91" s="505">
        <f t="shared" si="33"/>
        <v>0</v>
      </c>
      <c r="Y91" s="787">
        <f t="shared" si="31"/>
        <v>1285498071</v>
      </c>
      <c r="Z91" s="787">
        <f t="shared" si="31"/>
        <v>1075218155</v>
      </c>
      <c r="AA91" s="787">
        <f t="shared" si="31"/>
        <v>827178846</v>
      </c>
      <c r="AB91" s="787">
        <f t="shared" si="31"/>
        <v>826938846</v>
      </c>
      <c r="AC91" s="453"/>
    </row>
    <row r="92" spans="1:29" ht="16.5" thickTop="1" thickBot="1" x14ac:dyDescent="0.3">
      <c r="A92" s="456">
        <v>2</v>
      </c>
      <c r="B92" s="456" t="s">
        <v>1354</v>
      </c>
      <c r="C92" s="457" t="s">
        <v>1350</v>
      </c>
      <c r="D92" s="457" t="s">
        <v>1359</v>
      </c>
      <c r="E92" s="457" t="s">
        <v>1345</v>
      </c>
      <c r="F92" s="457" t="s">
        <v>1345</v>
      </c>
      <c r="G92" s="457" t="s">
        <v>1345</v>
      </c>
      <c r="H92" s="466" t="s">
        <v>2530</v>
      </c>
      <c r="I92" s="458">
        <f>1186652878+78845193</f>
        <v>1265498071</v>
      </c>
      <c r="J92" s="458">
        <v>1062395637</v>
      </c>
      <c r="K92" s="458">
        <v>814356328</v>
      </c>
      <c r="L92" s="458">
        <v>814356328</v>
      </c>
      <c r="M92" s="458"/>
      <c r="N92" s="458"/>
      <c r="O92" s="458"/>
      <c r="P92" s="458"/>
      <c r="Q92" s="458"/>
      <c r="R92" s="458"/>
      <c r="S92" s="458"/>
      <c r="T92" s="458"/>
      <c r="U92" s="458"/>
      <c r="V92" s="458"/>
      <c r="W92" s="458"/>
      <c r="X92" s="458"/>
      <c r="Y92" s="787">
        <f t="shared" si="31"/>
        <v>1265498071</v>
      </c>
      <c r="Z92" s="787">
        <f t="shared" si="31"/>
        <v>1062395637</v>
      </c>
      <c r="AA92" s="787">
        <f t="shared" si="31"/>
        <v>814356328</v>
      </c>
      <c r="AB92" s="787">
        <f t="shared" si="31"/>
        <v>814356328</v>
      </c>
      <c r="AC92" s="453"/>
    </row>
    <row r="93" spans="1:29" ht="16.5" thickTop="1" thickBot="1" x14ac:dyDescent="0.3">
      <c r="A93" s="456"/>
      <c r="B93" s="456"/>
      <c r="C93" s="457"/>
      <c r="D93" s="457"/>
      <c r="E93" s="457"/>
      <c r="F93" s="457"/>
      <c r="G93" s="457"/>
      <c r="H93" s="466" t="s">
        <v>2531</v>
      </c>
      <c r="I93" s="458">
        <v>20000000</v>
      </c>
      <c r="J93" s="458">
        <v>12822518</v>
      </c>
      <c r="K93" s="458">
        <v>12822518</v>
      </c>
      <c r="L93" s="458">
        <v>12582518</v>
      </c>
      <c r="M93" s="458"/>
      <c r="N93" s="458"/>
      <c r="O93" s="458"/>
      <c r="P93" s="458"/>
      <c r="Q93" s="458"/>
      <c r="R93" s="458"/>
      <c r="S93" s="458"/>
      <c r="T93" s="458"/>
      <c r="U93" s="458"/>
      <c r="V93" s="458"/>
      <c r="W93" s="458"/>
      <c r="X93" s="458"/>
      <c r="Y93" s="787">
        <f>+I93+M93+Q93+U93</f>
        <v>20000000</v>
      </c>
      <c r="Z93" s="787">
        <f>+J93+N93+R93+V93</f>
        <v>12822518</v>
      </c>
      <c r="AA93" s="787">
        <f>+K93+O93+S93+W93</f>
        <v>12822518</v>
      </c>
      <c r="AB93" s="787">
        <f>+L93+P93+T93+X93</f>
        <v>12582518</v>
      </c>
      <c r="AC93" s="453"/>
    </row>
    <row r="94" spans="1:29" ht="16.5" thickTop="1" thickBot="1" x14ac:dyDescent="0.3">
      <c r="A94" s="460">
        <v>2</v>
      </c>
      <c r="B94" s="460" t="s">
        <v>1354</v>
      </c>
      <c r="C94" s="460" t="s">
        <v>1350</v>
      </c>
      <c r="D94" s="460">
        <v>10</v>
      </c>
      <c r="E94" s="467"/>
      <c r="F94" s="467"/>
      <c r="G94" s="465"/>
      <c r="H94" s="793" t="s">
        <v>1733</v>
      </c>
      <c r="I94" s="468">
        <f t="shared" ref="I94:T96" si="34">+I95</f>
        <v>0</v>
      </c>
      <c r="J94" s="468">
        <f t="shared" si="34"/>
        <v>0</v>
      </c>
      <c r="K94" s="468">
        <f t="shared" si="34"/>
        <v>0</v>
      </c>
      <c r="L94" s="468">
        <f t="shared" si="34"/>
        <v>0</v>
      </c>
      <c r="M94" s="468">
        <f t="shared" si="34"/>
        <v>0</v>
      </c>
      <c r="N94" s="468">
        <f t="shared" si="34"/>
        <v>0</v>
      </c>
      <c r="O94" s="468">
        <f t="shared" si="34"/>
        <v>0</v>
      </c>
      <c r="P94" s="468">
        <f t="shared" si="34"/>
        <v>0</v>
      </c>
      <c r="Q94" s="468">
        <f t="shared" si="34"/>
        <v>0</v>
      </c>
      <c r="R94" s="468">
        <f t="shared" si="34"/>
        <v>0</v>
      </c>
      <c r="S94" s="468">
        <f t="shared" si="34"/>
        <v>0</v>
      </c>
      <c r="T94" s="468">
        <f t="shared" si="34"/>
        <v>0</v>
      </c>
      <c r="U94" s="468">
        <f>+U95</f>
        <v>40781172379</v>
      </c>
      <c r="V94" s="468">
        <f t="shared" ref="V94:X96" si="35">+V95</f>
        <v>40734120648</v>
      </c>
      <c r="W94" s="468">
        <f t="shared" si="35"/>
        <v>39344272384</v>
      </c>
      <c r="X94" s="468">
        <f t="shared" si="35"/>
        <v>39344272384</v>
      </c>
      <c r="Y94" s="791">
        <f t="shared" si="31"/>
        <v>40781172379</v>
      </c>
      <c r="Z94" s="791">
        <f t="shared" si="31"/>
        <v>40734120648</v>
      </c>
      <c r="AA94" s="791">
        <f t="shared" si="31"/>
        <v>39344272384</v>
      </c>
      <c r="AB94" s="791">
        <f t="shared" si="31"/>
        <v>39344272384</v>
      </c>
      <c r="AC94" s="453"/>
    </row>
    <row r="95" spans="1:29" ht="16.5" thickTop="1" thickBot="1" x14ac:dyDescent="0.3">
      <c r="A95" s="460">
        <v>2</v>
      </c>
      <c r="B95" s="460" t="s">
        <v>1354</v>
      </c>
      <c r="C95" s="460" t="s">
        <v>1350</v>
      </c>
      <c r="D95" s="460">
        <v>10</v>
      </c>
      <c r="E95" s="460" t="s">
        <v>1345</v>
      </c>
      <c r="F95" s="460"/>
      <c r="G95" s="460"/>
      <c r="H95" s="465" t="s">
        <v>1447</v>
      </c>
      <c r="I95" s="461">
        <f t="shared" si="34"/>
        <v>0</v>
      </c>
      <c r="J95" s="461">
        <f t="shared" si="34"/>
        <v>0</v>
      </c>
      <c r="K95" s="461">
        <f t="shared" si="34"/>
        <v>0</v>
      </c>
      <c r="L95" s="461">
        <f t="shared" si="34"/>
        <v>0</v>
      </c>
      <c r="M95" s="461">
        <f t="shared" si="34"/>
        <v>0</v>
      </c>
      <c r="N95" s="461">
        <f t="shared" si="34"/>
        <v>0</v>
      </c>
      <c r="O95" s="461">
        <f t="shared" si="34"/>
        <v>0</v>
      </c>
      <c r="P95" s="461">
        <f t="shared" si="34"/>
        <v>0</v>
      </c>
      <c r="Q95" s="461">
        <f t="shared" si="34"/>
        <v>0</v>
      </c>
      <c r="R95" s="461">
        <f t="shared" si="34"/>
        <v>0</v>
      </c>
      <c r="S95" s="461">
        <f t="shared" si="34"/>
        <v>0</v>
      </c>
      <c r="T95" s="461">
        <f t="shared" si="34"/>
        <v>0</v>
      </c>
      <c r="U95" s="461">
        <f>+U96</f>
        <v>40781172379</v>
      </c>
      <c r="V95" s="461">
        <f t="shared" si="35"/>
        <v>40734120648</v>
      </c>
      <c r="W95" s="461">
        <f t="shared" si="35"/>
        <v>39344272384</v>
      </c>
      <c r="X95" s="461">
        <f t="shared" si="35"/>
        <v>39344272384</v>
      </c>
      <c r="Y95" s="791">
        <f t="shared" si="31"/>
        <v>40781172379</v>
      </c>
      <c r="Z95" s="791">
        <f t="shared" si="31"/>
        <v>40734120648</v>
      </c>
      <c r="AA95" s="791">
        <f t="shared" si="31"/>
        <v>39344272384</v>
      </c>
      <c r="AB95" s="791">
        <f t="shared" si="31"/>
        <v>39344272384</v>
      </c>
      <c r="AC95" s="453"/>
    </row>
    <row r="96" spans="1:29" ht="16.5" thickTop="1" thickBot="1" x14ac:dyDescent="0.3">
      <c r="A96" s="456">
        <v>2</v>
      </c>
      <c r="B96" s="456" t="s">
        <v>1354</v>
      </c>
      <c r="C96" s="457" t="s">
        <v>1350</v>
      </c>
      <c r="D96" s="457" t="s">
        <v>1391</v>
      </c>
      <c r="E96" s="457" t="s">
        <v>1345</v>
      </c>
      <c r="F96" s="457" t="s">
        <v>1345</v>
      </c>
      <c r="G96" s="456"/>
      <c r="H96" s="466" t="s">
        <v>1448</v>
      </c>
      <c r="I96" s="505">
        <f t="shared" si="34"/>
        <v>0</v>
      </c>
      <c r="J96" s="505">
        <f t="shared" si="34"/>
        <v>0</v>
      </c>
      <c r="K96" s="505">
        <f t="shared" si="34"/>
        <v>0</v>
      </c>
      <c r="L96" s="505">
        <f t="shared" si="34"/>
        <v>0</v>
      </c>
      <c r="M96" s="505">
        <f t="shared" si="34"/>
        <v>0</v>
      </c>
      <c r="N96" s="505">
        <f t="shared" si="34"/>
        <v>0</v>
      </c>
      <c r="O96" s="505">
        <f t="shared" si="34"/>
        <v>0</v>
      </c>
      <c r="P96" s="505">
        <f t="shared" si="34"/>
        <v>0</v>
      </c>
      <c r="Q96" s="505">
        <f t="shared" si="34"/>
        <v>0</v>
      </c>
      <c r="R96" s="505">
        <f t="shared" si="34"/>
        <v>0</v>
      </c>
      <c r="S96" s="505">
        <f t="shared" si="34"/>
        <v>0</v>
      </c>
      <c r="T96" s="505">
        <f t="shared" si="34"/>
        <v>0</v>
      </c>
      <c r="U96" s="505">
        <f>+U97</f>
        <v>40781172379</v>
      </c>
      <c r="V96" s="505">
        <f t="shared" si="35"/>
        <v>40734120648</v>
      </c>
      <c r="W96" s="505">
        <f t="shared" si="35"/>
        <v>39344272384</v>
      </c>
      <c r="X96" s="505">
        <f t="shared" si="35"/>
        <v>39344272384</v>
      </c>
      <c r="Y96" s="787">
        <f t="shared" si="31"/>
        <v>40781172379</v>
      </c>
      <c r="Z96" s="787">
        <f t="shared" si="31"/>
        <v>40734120648</v>
      </c>
      <c r="AA96" s="787">
        <f t="shared" si="31"/>
        <v>39344272384</v>
      </c>
      <c r="AB96" s="787">
        <f t="shared" si="31"/>
        <v>39344272384</v>
      </c>
      <c r="AC96" s="453"/>
    </row>
    <row r="97" spans="1:30" ht="16.5" thickTop="1" thickBot="1" x14ac:dyDescent="0.3">
      <c r="A97" s="456">
        <v>2</v>
      </c>
      <c r="B97" s="456" t="s">
        <v>1354</v>
      </c>
      <c r="C97" s="457" t="s">
        <v>1350</v>
      </c>
      <c r="D97" s="457" t="s">
        <v>1391</v>
      </c>
      <c r="E97" s="457" t="s">
        <v>1345</v>
      </c>
      <c r="F97" s="457" t="s">
        <v>1345</v>
      </c>
      <c r="G97" s="457" t="s">
        <v>1345</v>
      </c>
      <c r="H97" s="466" t="s">
        <v>2532</v>
      </c>
      <c r="I97" s="458"/>
      <c r="J97" s="458"/>
      <c r="K97" s="458"/>
      <c r="L97" s="458"/>
      <c r="M97" s="458"/>
      <c r="N97" s="458"/>
      <c r="O97" s="458"/>
      <c r="P97" s="458"/>
      <c r="Q97" s="458"/>
      <c r="R97" s="458"/>
      <c r="S97" s="458"/>
      <c r="T97" s="458"/>
      <c r="U97" s="458">
        <v>40781172379</v>
      </c>
      <c r="V97" s="458">
        <v>40734120648</v>
      </c>
      <c r="W97" s="458">
        <v>39344272384</v>
      </c>
      <c r="X97" s="458">
        <v>39344272384</v>
      </c>
      <c r="Y97" s="787">
        <f t="shared" si="31"/>
        <v>40781172379</v>
      </c>
      <c r="Z97" s="787">
        <f t="shared" si="31"/>
        <v>40734120648</v>
      </c>
      <c r="AA97" s="787">
        <f t="shared" si="31"/>
        <v>39344272384</v>
      </c>
      <c r="AB97" s="787">
        <f t="shared" si="31"/>
        <v>39344272384</v>
      </c>
      <c r="AC97" s="453"/>
    </row>
    <row r="98" spans="1:30" ht="16.5" thickTop="1" thickBot="1" x14ac:dyDescent="0.3">
      <c r="A98" s="460">
        <v>2</v>
      </c>
      <c r="B98" s="460" t="s">
        <v>1354</v>
      </c>
      <c r="C98" s="460" t="s">
        <v>1350</v>
      </c>
      <c r="D98" s="460">
        <v>11</v>
      </c>
      <c r="E98" s="467"/>
      <c r="F98" s="467"/>
      <c r="G98" s="465"/>
      <c r="H98" s="793" t="s">
        <v>1734</v>
      </c>
      <c r="I98" s="468">
        <f t="shared" ref="I98:T100" si="36">+I99</f>
        <v>0</v>
      </c>
      <c r="J98" s="468">
        <f t="shared" si="36"/>
        <v>0</v>
      </c>
      <c r="K98" s="468">
        <f t="shared" si="36"/>
        <v>0</v>
      </c>
      <c r="L98" s="468">
        <f t="shared" si="36"/>
        <v>0</v>
      </c>
      <c r="M98" s="468">
        <f t="shared" si="36"/>
        <v>0</v>
      </c>
      <c r="N98" s="468">
        <f t="shared" si="36"/>
        <v>0</v>
      </c>
      <c r="O98" s="468">
        <f t="shared" si="36"/>
        <v>0</v>
      </c>
      <c r="P98" s="468">
        <f t="shared" si="36"/>
        <v>0</v>
      </c>
      <c r="Q98" s="468">
        <f t="shared" si="36"/>
        <v>0</v>
      </c>
      <c r="R98" s="468">
        <f t="shared" si="36"/>
        <v>0</v>
      </c>
      <c r="S98" s="468">
        <f t="shared" si="36"/>
        <v>0</v>
      </c>
      <c r="T98" s="468">
        <f t="shared" si="36"/>
        <v>0</v>
      </c>
      <c r="U98" s="468">
        <f>+U99</f>
        <v>25375830600</v>
      </c>
      <c r="V98" s="468">
        <f t="shared" ref="V98:X100" si="37">+V99</f>
        <v>25328436664</v>
      </c>
      <c r="W98" s="468">
        <f t="shared" si="37"/>
        <v>13601090285</v>
      </c>
      <c r="X98" s="468">
        <f t="shared" si="37"/>
        <v>13601090285</v>
      </c>
      <c r="Y98" s="791">
        <f t="shared" si="31"/>
        <v>25375830600</v>
      </c>
      <c r="Z98" s="791">
        <f t="shared" si="31"/>
        <v>25328436664</v>
      </c>
      <c r="AA98" s="791">
        <f t="shared" si="31"/>
        <v>13601090285</v>
      </c>
      <c r="AB98" s="791">
        <f t="shared" si="31"/>
        <v>13601090285</v>
      </c>
      <c r="AC98" s="453"/>
    </row>
    <row r="99" spans="1:30" ht="16.5" thickTop="1" thickBot="1" x14ac:dyDescent="0.3">
      <c r="A99" s="460">
        <v>2</v>
      </c>
      <c r="B99" s="460" t="s">
        <v>1354</v>
      </c>
      <c r="C99" s="460" t="s">
        <v>1350</v>
      </c>
      <c r="D99" s="460">
        <v>11</v>
      </c>
      <c r="E99" s="460" t="s">
        <v>1345</v>
      </c>
      <c r="F99" s="460"/>
      <c r="G99" s="460"/>
      <c r="H99" s="465" t="s">
        <v>1447</v>
      </c>
      <c r="I99" s="461">
        <f t="shared" si="36"/>
        <v>0</v>
      </c>
      <c r="J99" s="461">
        <f t="shared" si="36"/>
        <v>0</v>
      </c>
      <c r="K99" s="461">
        <f t="shared" si="36"/>
        <v>0</v>
      </c>
      <c r="L99" s="461">
        <f t="shared" si="36"/>
        <v>0</v>
      </c>
      <c r="M99" s="461">
        <f t="shared" si="36"/>
        <v>0</v>
      </c>
      <c r="N99" s="461">
        <f t="shared" si="36"/>
        <v>0</v>
      </c>
      <c r="O99" s="461">
        <f t="shared" si="36"/>
        <v>0</v>
      </c>
      <c r="P99" s="461">
        <f t="shared" si="36"/>
        <v>0</v>
      </c>
      <c r="Q99" s="461">
        <f t="shared" si="36"/>
        <v>0</v>
      </c>
      <c r="R99" s="461">
        <f t="shared" si="36"/>
        <v>0</v>
      </c>
      <c r="S99" s="461">
        <f t="shared" si="36"/>
        <v>0</v>
      </c>
      <c r="T99" s="461">
        <f t="shared" si="36"/>
        <v>0</v>
      </c>
      <c r="U99" s="461">
        <f>+U100</f>
        <v>25375830600</v>
      </c>
      <c r="V99" s="461">
        <f t="shared" si="37"/>
        <v>25328436664</v>
      </c>
      <c r="W99" s="461">
        <f t="shared" si="37"/>
        <v>13601090285</v>
      </c>
      <c r="X99" s="461">
        <f t="shared" si="37"/>
        <v>13601090285</v>
      </c>
      <c r="Y99" s="791">
        <f>+I99+M99+Q99+U99</f>
        <v>25375830600</v>
      </c>
      <c r="Z99" s="791">
        <f>+J99+N99+R99+V99</f>
        <v>25328436664</v>
      </c>
      <c r="AA99" s="791">
        <f>+K99+O99+S99+W99</f>
        <v>13601090285</v>
      </c>
      <c r="AB99" s="791">
        <f>+L99+P99+T99+X99</f>
        <v>13601090285</v>
      </c>
      <c r="AC99" s="453"/>
    </row>
    <row r="100" spans="1:30" ht="16.5" thickTop="1" thickBot="1" x14ac:dyDescent="0.3">
      <c r="A100" s="456">
        <v>2</v>
      </c>
      <c r="B100" s="456" t="s">
        <v>1354</v>
      </c>
      <c r="C100" s="457" t="s">
        <v>1350</v>
      </c>
      <c r="D100" s="457" t="s">
        <v>1392</v>
      </c>
      <c r="E100" s="457" t="s">
        <v>1345</v>
      </c>
      <c r="F100" s="457" t="s">
        <v>1345</v>
      </c>
      <c r="G100" s="456"/>
      <c r="H100" s="466" t="s">
        <v>1448</v>
      </c>
      <c r="I100" s="505">
        <f t="shared" si="36"/>
        <v>0</v>
      </c>
      <c r="J100" s="505">
        <f t="shared" si="36"/>
        <v>0</v>
      </c>
      <c r="K100" s="505">
        <f t="shared" si="36"/>
        <v>0</v>
      </c>
      <c r="L100" s="505">
        <f t="shared" si="36"/>
        <v>0</v>
      </c>
      <c r="M100" s="505">
        <f t="shared" si="36"/>
        <v>0</v>
      </c>
      <c r="N100" s="505">
        <f t="shared" si="36"/>
        <v>0</v>
      </c>
      <c r="O100" s="505">
        <f t="shared" si="36"/>
        <v>0</v>
      </c>
      <c r="P100" s="505">
        <f t="shared" si="36"/>
        <v>0</v>
      </c>
      <c r="Q100" s="505">
        <f t="shared" si="36"/>
        <v>0</v>
      </c>
      <c r="R100" s="505">
        <f t="shared" si="36"/>
        <v>0</v>
      </c>
      <c r="S100" s="505">
        <f t="shared" si="36"/>
        <v>0</v>
      </c>
      <c r="T100" s="505">
        <f t="shared" si="36"/>
        <v>0</v>
      </c>
      <c r="U100" s="505">
        <f>+U101</f>
        <v>25375830600</v>
      </c>
      <c r="V100" s="505">
        <f t="shared" si="37"/>
        <v>25328436664</v>
      </c>
      <c r="W100" s="505">
        <f t="shared" si="37"/>
        <v>13601090285</v>
      </c>
      <c r="X100" s="505">
        <f t="shared" si="37"/>
        <v>13601090285</v>
      </c>
      <c r="Y100" s="787">
        <f t="shared" ref="Y100:AB107" si="38">+I100+M100+Q100+U100</f>
        <v>25375830600</v>
      </c>
      <c r="Z100" s="787">
        <f t="shared" si="38"/>
        <v>25328436664</v>
      </c>
      <c r="AA100" s="787">
        <f t="shared" si="38"/>
        <v>13601090285</v>
      </c>
      <c r="AB100" s="787">
        <f t="shared" si="38"/>
        <v>13601090285</v>
      </c>
      <c r="AC100" s="453"/>
    </row>
    <row r="101" spans="1:30" ht="16.5" thickTop="1" thickBot="1" x14ac:dyDescent="0.3">
      <c r="A101" s="456">
        <v>2</v>
      </c>
      <c r="B101" s="456" t="s">
        <v>1354</v>
      </c>
      <c r="C101" s="457" t="s">
        <v>1350</v>
      </c>
      <c r="D101" s="457" t="s">
        <v>1392</v>
      </c>
      <c r="E101" s="457" t="s">
        <v>1345</v>
      </c>
      <c r="F101" s="457" t="s">
        <v>1345</v>
      </c>
      <c r="G101" s="457" t="s">
        <v>1345</v>
      </c>
      <c r="H101" s="466" t="s">
        <v>2532</v>
      </c>
      <c r="I101" s="458"/>
      <c r="J101" s="458"/>
      <c r="K101" s="458"/>
      <c r="L101" s="458"/>
      <c r="M101" s="458"/>
      <c r="N101" s="458"/>
      <c r="O101" s="458"/>
      <c r="P101" s="458"/>
      <c r="Q101" s="458"/>
      <c r="R101" s="458"/>
      <c r="S101" s="458"/>
      <c r="T101" s="458"/>
      <c r="U101" s="458">
        <v>25375830600</v>
      </c>
      <c r="V101" s="458">
        <v>25328436664</v>
      </c>
      <c r="W101" s="458">
        <v>13601090285</v>
      </c>
      <c r="X101" s="458">
        <v>13601090285</v>
      </c>
      <c r="Y101" s="787">
        <f t="shared" si="38"/>
        <v>25375830600</v>
      </c>
      <c r="Z101" s="787">
        <f t="shared" si="38"/>
        <v>25328436664</v>
      </c>
      <c r="AA101" s="787">
        <f t="shared" si="38"/>
        <v>13601090285</v>
      </c>
      <c r="AB101" s="787">
        <f t="shared" si="38"/>
        <v>13601090285</v>
      </c>
      <c r="AC101" s="453"/>
    </row>
    <row r="102" spans="1:30" ht="16.5" thickTop="1" thickBot="1" x14ac:dyDescent="0.3">
      <c r="A102" s="460">
        <v>2</v>
      </c>
      <c r="B102" s="460" t="s">
        <v>1354</v>
      </c>
      <c r="C102" s="460" t="s">
        <v>1350</v>
      </c>
      <c r="D102" s="460">
        <v>12</v>
      </c>
      <c r="E102" s="467"/>
      <c r="F102" s="467"/>
      <c r="G102" s="465"/>
      <c r="H102" s="794" t="s">
        <v>1735</v>
      </c>
      <c r="I102" s="468">
        <f t="shared" ref="I102:T104" si="39">+I103</f>
        <v>0</v>
      </c>
      <c r="J102" s="468">
        <f t="shared" si="39"/>
        <v>0</v>
      </c>
      <c r="K102" s="468">
        <f t="shared" si="39"/>
        <v>0</v>
      </c>
      <c r="L102" s="468">
        <f t="shared" si="39"/>
        <v>0</v>
      </c>
      <c r="M102" s="468">
        <f t="shared" si="39"/>
        <v>0</v>
      </c>
      <c r="N102" s="468">
        <f t="shared" si="39"/>
        <v>0</v>
      </c>
      <c r="O102" s="468">
        <f t="shared" si="39"/>
        <v>0</v>
      </c>
      <c r="P102" s="468">
        <f t="shared" si="39"/>
        <v>0</v>
      </c>
      <c r="Q102" s="468">
        <f t="shared" si="39"/>
        <v>0</v>
      </c>
      <c r="R102" s="468">
        <f t="shared" si="39"/>
        <v>0</v>
      </c>
      <c r="S102" s="468">
        <f t="shared" si="39"/>
        <v>0</v>
      </c>
      <c r="T102" s="468">
        <f t="shared" si="39"/>
        <v>0</v>
      </c>
      <c r="U102" s="468">
        <f>+U103</f>
        <v>12900605538</v>
      </c>
      <c r="V102" s="468">
        <f t="shared" ref="V102:X104" si="40">+V103</f>
        <v>12869613369</v>
      </c>
      <c r="W102" s="468">
        <f t="shared" si="40"/>
        <v>12754404734</v>
      </c>
      <c r="X102" s="468">
        <f t="shared" si="40"/>
        <v>12754404734</v>
      </c>
      <c r="Y102" s="791">
        <f t="shared" si="38"/>
        <v>12900605538</v>
      </c>
      <c r="Z102" s="791">
        <f t="shared" si="38"/>
        <v>12869613369</v>
      </c>
      <c r="AA102" s="791">
        <f t="shared" si="38"/>
        <v>12754404734</v>
      </c>
      <c r="AB102" s="791">
        <f t="shared" si="38"/>
        <v>12754404734</v>
      </c>
      <c r="AC102" s="453"/>
    </row>
    <row r="103" spans="1:30" ht="16.5" thickTop="1" thickBot="1" x14ac:dyDescent="0.3">
      <c r="A103" s="460">
        <v>2</v>
      </c>
      <c r="B103" s="460" t="s">
        <v>1354</v>
      </c>
      <c r="C103" s="460" t="s">
        <v>1350</v>
      </c>
      <c r="D103" s="460">
        <v>12</v>
      </c>
      <c r="E103" s="460" t="s">
        <v>1345</v>
      </c>
      <c r="F103" s="460"/>
      <c r="G103" s="460"/>
      <c r="H103" s="465" t="s">
        <v>1447</v>
      </c>
      <c r="I103" s="461">
        <f t="shared" si="39"/>
        <v>0</v>
      </c>
      <c r="J103" s="461">
        <f t="shared" si="39"/>
        <v>0</v>
      </c>
      <c r="K103" s="461">
        <f t="shared" si="39"/>
        <v>0</v>
      </c>
      <c r="L103" s="461">
        <f t="shared" si="39"/>
        <v>0</v>
      </c>
      <c r="M103" s="461">
        <f t="shared" si="39"/>
        <v>0</v>
      </c>
      <c r="N103" s="461">
        <f t="shared" si="39"/>
        <v>0</v>
      </c>
      <c r="O103" s="461">
        <f t="shared" si="39"/>
        <v>0</v>
      </c>
      <c r="P103" s="461">
        <f t="shared" si="39"/>
        <v>0</v>
      </c>
      <c r="Q103" s="461">
        <f t="shared" si="39"/>
        <v>0</v>
      </c>
      <c r="R103" s="461">
        <f t="shared" si="39"/>
        <v>0</v>
      </c>
      <c r="S103" s="461">
        <f t="shared" si="39"/>
        <v>0</v>
      </c>
      <c r="T103" s="461">
        <f t="shared" si="39"/>
        <v>0</v>
      </c>
      <c r="U103" s="461">
        <f>+U104</f>
        <v>12900605538</v>
      </c>
      <c r="V103" s="461">
        <f t="shared" si="40"/>
        <v>12869613369</v>
      </c>
      <c r="W103" s="461">
        <f t="shared" si="40"/>
        <v>12754404734</v>
      </c>
      <c r="X103" s="461">
        <f t="shared" si="40"/>
        <v>12754404734</v>
      </c>
      <c r="Y103" s="791">
        <f t="shared" si="38"/>
        <v>12900605538</v>
      </c>
      <c r="Z103" s="791">
        <f t="shared" si="38"/>
        <v>12869613369</v>
      </c>
      <c r="AA103" s="791">
        <f t="shared" si="38"/>
        <v>12754404734</v>
      </c>
      <c r="AB103" s="791">
        <f t="shared" si="38"/>
        <v>12754404734</v>
      </c>
      <c r="AC103" s="453"/>
    </row>
    <row r="104" spans="1:30" ht="16.5" thickTop="1" thickBot="1" x14ac:dyDescent="0.3">
      <c r="A104" s="456">
        <v>2</v>
      </c>
      <c r="B104" s="456" t="s">
        <v>1354</v>
      </c>
      <c r="C104" s="457" t="s">
        <v>1350</v>
      </c>
      <c r="D104" s="457" t="s">
        <v>1393</v>
      </c>
      <c r="E104" s="457" t="s">
        <v>1345</v>
      </c>
      <c r="F104" s="457" t="s">
        <v>1345</v>
      </c>
      <c r="G104" s="456"/>
      <c r="H104" s="466" t="s">
        <v>1448</v>
      </c>
      <c r="I104" s="505">
        <f t="shared" si="39"/>
        <v>0</v>
      </c>
      <c r="J104" s="505">
        <f t="shared" si="39"/>
        <v>0</v>
      </c>
      <c r="K104" s="505">
        <f t="shared" si="39"/>
        <v>0</v>
      </c>
      <c r="L104" s="505">
        <f t="shared" si="39"/>
        <v>0</v>
      </c>
      <c r="M104" s="505">
        <f t="shared" si="39"/>
        <v>0</v>
      </c>
      <c r="N104" s="505">
        <f t="shared" si="39"/>
        <v>0</v>
      </c>
      <c r="O104" s="505">
        <f t="shared" si="39"/>
        <v>0</v>
      </c>
      <c r="P104" s="505">
        <f t="shared" si="39"/>
        <v>0</v>
      </c>
      <c r="Q104" s="505">
        <f t="shared" si="39"/>
        <v>0</v>
      </c>
      <c r="R104" s="505">
        <f t="shared" si="39"/>
        <v>0</v>
      </c>
      <c r="S104" s="505">
        <f t="shared" si="39"/>
        <v>0</v>
      </c>
      <c r="T104" s="505">
        <f t="shared" si="39"/>
        <v>0</v>
      </c>
      <c r="U104" s="505">
        <f>+U105</f>
        <v>12900605538</v>
      </c>
      <c r="V104" s="505">
        <f t="shared" si="40"/>
        <v>12869613369</v>
      </c>
      <c r="W104" s="505">
        <f t="shared" si="40"/>
        <v>12754404734</v>
      </c>
      <c r="X104" s="505">
        <f t="shared" si="40"/>
        <v>12754404734</v>
      </c>
      <c r="Y104" s="787">
        <f t="shared" si="38"/>
        <v>12900605538</v>
      </c>
      <c r="Z104" s="787">
        <f t="shared" si="38"/>
        <v>12869613369</v>
      </c>
      <c r="AA104" s="787">
        <f t="shared" si="38"/>
        <v>12754404734</v>
      </c>
      <c r="AB104" s="787">
        <f t="shared" si="38"/>
        <v>12754404734</v>
      </c>
      <c r="AC104" s="453"/>
    </row>
    <row r="105" spans="1:30" ht="16.5" thickTop="1" thickBot="1" x14ac:dyDescent="0.3">
      <c r="A105" s="456">
        <v>2</v>
      </c>
      <c r="B105" s="456" t="s">
        <v>1354</v>
      </c>
      <c r="C105" s="457" t="s">
        <v>1350</v>
      </c>
      <c r="D105" s="457" t="s">
        <v>1393</v>
      </c>
      <c r="E105" s="457" t="s">
        <v>1345</v>
      </c>
      <c r="F105" s="457" t="s">
        <v>1345</v>
      </c>
      <c r="G105" s="457" t="s">
        <v>1345</v>
      </c>
      <c r="H105" s="466" t="s">
        <v>2532</v>
      </c>
      <c r="I105" s="458"/>
      <c r="J105" s="458"/>
      <c r="K105" s="458"/>
      <c r="L105" s="458"/>
      <c r="M105" s="458"/>
      <c r="N105" s="458"/>
      <c r="O105" s="458"/>
      <c r="P105" s="458"/>
      <c r="Q105" s="458"/>
      <c r="R105" s="458"/>
      <c r="S105" s="458"/>
      <c r="T105" s="458"/>
      <c r="U105" s="458">
        <v>12900605538</v>
      </c>
      <c r="V105" s="458">
        <v>12869613369</v>
      </c>
      <c r="W105" s="458">
        <v>12754404734</v>
      </c>
      <c r="X105" s="458">
        <v>12754404734</v>
      </c>
      <c r="Y105" s="787">
        <f t="shared" si="38"/>
        <v>12900605538</v>
      </c>
      <c r="Z105" s="787">
        <f t="shared" si="38"/>
        <v>12869613369</v>
      </c>
      <c r="AA105" s="787">
        <f t="shared" si="38"/>
        <v>12754404734</v>
      </c>
      <c r="AB105" s="787">
        <f t="shared" si="38"/>
        <v>12754404734</v>
      </c>
      <c r="AC105" s="453"/>
    </row>
    <row r="106" spans="1:30" ht="16.5" thickTop="1" thickBot="1" x14ac:dyDescent="0.3">
      <c r="A106" s="455">
        <v>2</v>
      </c>
      <c r="B106" s="454" t="s">
        <v>1354</v>
      </c>
      <c r="C106" s="454" t="s">
        <v>1354</v>
      </c>
      <c r="D106" s="454"/>
      <c r="E106" s="462"/>
      <c r="F106" s="462"/>
      <c r="G106" s="462"/>
      <c r="H106" s="463" t="s">
        <v>1541</v>
      </c>
      <c r="I106" s="464">
        <f t="shared" ref="I106:X106" si="41">+I107+I112+I116+I121</f>
        <v>15609687974</v>
      </c>
      <c r="J106" s="464">
        <f t="shared" si="41"/>
        <v>14808637414</v>
      </c>
      <c r="K106" s="464">
        <f t="shared" si="41"/>
        <v>14602723320</v>
      </c>
      <c r="L106" s="464">
        <f t="shared" si="41"/>
        <v>12667547909</v>
      </c>
      <c r="M106" s="464">
        <f t="shared" si="41"/>
        <v>9067542770</v>
      </c>
      <c r="N106" s="464">
        <f t="shared" si="41"/>
        <v>9057327022</v>
      </c>
      <c r="O106" s="464">
        <f t="shared" si="41"/>
        <v>0</v>
      </c>
      <c r="P106" s="464">
        <f t="shared" si="41"/>
        <v>0</v>
      </c>
      <c r="Q106" s="464">
        <f t="shared" si="41"/>
        <v>0</v>
      </c>
      <c r="R106" s="464">
        <f t="shared" si="41"/>
        <v>0</v>
      </c>
      <c r="S106" s="464">
        <f t="shared" si="41"/>
        <v>0</v>
      </c>
      <c r="T106" s="464">
        <f t="shared" si="41"/>
        <v>0</v>
      </c>
      <c r="U106" s="464">
        <f t="shared" si="41"/>
        <v>0</v>
      </c>
      <c r="V106" s="464">
        <f t="shared" si="41"/>
        <v>0</v>
      </c>
      <c r="W106" s="464">
        <f t="shared" si="41"/>
        <v>0</v>
      </c>
      <c r="X106" s="464">
        <f t="shared" si="41"/>
        <v>0</v>
      </c>
      <c r="Y106" s="785">
        <f t="shared" si="38"/>
        <v>24677230744</v>
      </c>
      <c r="Z106" s="785">
        <f t="shared" si="38"/>
        <v>23865964436</v>
      </c>
      <c r="AA106" s="785">
        <f t="shared" si="38"/>
        <v>14602723320</v>
      </c>
      <c r="AB106" s="785">
        <f t="shared" si="38"/>
        <v>12667547909</v>
      </c>
      <c r="AC106" s="453"/>
    </row>
    <row r="107" spans="1:30" ht="16.5" thickTop="1" thickBot="1" x14ac:dyDescent="0.3">
      <c r="A107" s="460">
        <v>2</v>
      </c>
      <c r="B107" s="460" t="s">
        <v>1354</v>
      </c>
      <c r="C107" s="460" t="s">
        <v>1354</v>
      </c>
      <c r="D107" s="460" t="s">
        <v>1345</v>
      </c>
      <c r="E107" s="467"/>
      <c r="F107" s="467"/>
      <c r="G107" s="465"/>
      <c r="H107" s="465" t="s">
        <v>1745</v>
      </c>
      <c r="I107" s="795">
        <f>+I108</f>
        <v>1262580516</v>
      </c>
      <c r="J107" s="468">
        <f t="shared" ref="J107:X109" si="42">+J108</f>
        <v>673054130</v>
      </c>
      <c r="K107" s="468">
        <f t="shared" si="42"/>
        <v>673054130</v>
      </c>
      <c r="L107" s="468">
        <f t="shared" si="42"/>
        <v>673054130</v>
      </c>
      <c r="M107" s="468">
        <f t="shared" si="42"/>
        <v>9067542770</v>
      </c>
      <c r="N107" s="468">
        <f t="shared" si="42"/>
        <v>9057327022</v>
      </c>
      <c r="O107" s="468">
        <f t="shared" si="42"/>
        <v>0</v>
      </c>
      <c r="P107" s="468">
        <f t="shared" si="42"/>
        <v>0</v>
      </c>
      <c r="Q107" s="468">
        <f t="shared" si="42"/>
        <v>0</v>
      </c>
      <c r="R107" s="468">
        <f t="shared" si="42"/>
        <v>0</v>
      </c>
      <c r="S107" s="468">
        <f t="shared" si="42"/>
        <v>0</v>
      </c>
      <c r="T107" s="468">
        <f t="shared" si="42"/>
        <v>0</v>
      </c>
      <c r="U107" s="468">
        <f t="shared" si="42"/>
        <v>0</v>
      </c>
      <c r="V107" s="468">
        <f t="shared" si="42"/>
        <v>0</v>
      </c>
      <c r="W107" s="468">
        <f t="shared" si="42"/>
        <v>0</v>
      </c>
      <c r="X107" s="468">
        <f t="shared" si="42"/>
        <v>0</v>
      </c>
      <c r="Y107" s="791">
        <f t="shared" si="38"/>
        <v>10330123286</v>
      </c>
      <c r="Z107" s="791">
        <f t="shared" si="38"/>
        <v>9730381152</v>
      </c>
      <c r="AA107" s="791">
        <f t="shared" si="38"/>
        <v>673054130</v>
      </c>
      <c r="AB107" s="791">
        <f t="shared" si="38"/>
        <v>673054130</v>
      </c>
      <c r="AC107" s="453"/>
    </row>
    <row r="108" spans="1:30" ht="16.5" thickTop="1" thickBot="1" x14ac:dyDescent="0.3">
      <c r="A108" s="460">
        <v>2</v>
      </c>
      <c r="B108" s="460" t="s">
        <v>1354</v>
      </c>
      <c r="C108" s="460" t="s">
        <v>1354</v>
      </c>
      <c r="D108" s="460" t="s">
        <v>1345</v>
      </c>
      <c r="E108" s="460" t="s">
        <v>1345</v>
      </c>
      <c r="F108" s="460"/>
      <c r="G108" s="460"/>
      <c r="H108" s="465" t="s">
        <v>1447</v>
      </c>
      <c r="I108" s="461">
        <f>+I109</f>
        <v>1262580516</v>
      </c>
      <c r="J108" s="461">
        <f t="shared" si="42"/>
        <v>673054130</v>
      </c>
      <c r="K108" s="461">
        <f t="shared" si="42"/>
        <v>673054130</v>
      </c>
      <c r="L108" s="461">
        <f t="shared" si="42"/>
        <v>673054130</v>
      </c>
      <c r="M108" s="461">
        <f t="shared" si="42"/>
        <v>9067542770</v>
      </c>
      <c r="N108" s="461">
        <f t="shared" si="42"/>
        <v>9057327022</v>
      </c>
      <c r="O108" s="461">
        <f t="shared" si="42"/>
        <v>0</v>
      </c>
      <c r="P108" s="461">
        <f t="shared" si="42"/>
        <v>0</v>
      </c>
      <c r="Q108" s="461">
        <f t="shared" si="42"/>
        <v>0</v>
      </c>
      <c r="R108" s="461">
        <f t="shared" si="42"/>
        <v>0</v>
      </c>
      <c r="S108" s="461">
        <f t="shared" si="42"/>
        <v>0</v>
      </c>
      <c r="T108" s="461">
        <f t="shared" si="42"/>
        <v>0</v>
      </c>
      <c r="U108" s="461">
        <f t="shared" si="42"/>
        <v>0</v>
      </c>
      <c r="V108" s="461">
        <f t="shared" si="42"/>
        <v>0</v>
      </c>
      <c r="W108" s="461">
        <f t="shared" si="42"/>
        <v>0</v>
      </c>
      <c r="X108" s="461">
        <f t="shared" si="42"/>
        <v>0</v>
      </c>
      <c r="Y108" s="791">
        <f>+I108+M108+Q108+U108</f>
        <v>10330123286</v>
      </c>
      <c r="Z108" s="791">
        <f>+J108+N108+R108+V108</f>
        <v>9730381152</v>
      </c>
      <c r="AA108" s="791">
        <f>+K108+O108+S108+W108</f>
        <v>673054130</v>
      </c>
      <c r="AB108" s="791">
        <f>+L108+P108+T108+X108</f>
        <v>673054130</v>
      </c>
      <c r="AC108" s="453"/>
    </row>
    <row r="109" spans="1:30" ht="16.5" thickTop="1" thickBot="1" x14ac:dyDescent="0.3">
      <c r="A109" s="456">
        <v>2</v>
      </c>
      <c r="B109" s="456" t="s">
        <v>1354</v>
      </c>
      <c r="C109" s="456" t="s">
        <v>1354</v>
      </c>
      <c r="D109" s="456" t="s">
        <v>1345</v>
      </c>
      <c r="E109" s="457" t="s">
        <v>1345</v>
      </c>
      <c r="F109" s="457" t="s">
        <v>1345</v>
      </c>
      <c r="G109" s="456"/>
      <c r="H109" s="466" t="s">
        <v>1448</v>
      </c>
      <c r="I109" s="505">
        <f>SUM(I110:I111)</f>
        <v>1262580516</v>
      </c>
      <c r="J109" s="505">
        <f t="shared" ref="J109:L109" si="43">SUM(J110:J111)</f>
        <v>673054130</v>
      </c>
      <c r="K109" s="505">
        <f t="shared" si="43"/>
        <v>673054130</v>
      </c>
      <c r="L109" s="505">
        <f t="shared" si="43"/>
        <v>673054130</v>
      </c>
      <c r="M109" s="505">
        <f>SUM(M110:M111)</f>
        <v>9067542770</v>
      </c>
      <c r="N109" s="505">
        <f t="shared" ref="N109:T109" si="44">SUM(N110:N111)</f>
        <v>9057327022</v>
      </c>
      <c r="O109" s="505">
        <f t="shared" si="44"/>
        <v>0</v>
      </c>
      <c r="P109" s="505">
        <f t="shared" si="44"/>
        <v>0</v>
      </c>
      <c r="Q109" s="505">
        <f t="shared" si="44"/>
        <v>0</v>
      </c>
      <c r="R109" s="505">
        <f t="shared" si="44"/>
        <v>0</v>
      </c>
      <c r="S109" s="505">
        <f t="shared" si="44"/>
        <v>0</v>
      </c>
      <c r="T109" s="505">
        <f t="shared" si="44"/>
        <v>0</v>
      </c>
      <c r="U109" s="505">
        <f>+U110</f>
        <v>0</v>
      </c>
      <c r="V109" s="505">
        <f t="shared" si="42"/>
        <v>0</v>
      </c>
      <c r="W109" s="505">
        <f t="shared" si="42"/>
        <v>0</v>
      </c>
      <c r="X109" s="505">
        <f t="shared" si="42"/>
        <v>0</v>
      </c>
      <c r="Y109" s="787">
        <f t="shared" ref="Y109:AB113" si="45">+I109+M109+Q109+U109</f>
        <v>10330123286</v>
      </c>
      <c r="Z109" s="787">
        <f t="shared" si="45"/>
        <v>9730381152</v>
      </c>
      <c r="AA109" s="787">
        <f t="shared" si="45"/>
        <v>673054130</v>
      </c>
      <c r="AB109" s="787">
        <f t="shared" si="45"/>
        <v>673054130</v>
      </c>
      <c r="AC109" s="453"/>
    </row>
    <row r="110" spans="1:30" ht="16.5" thickTop="1" thickBot="1" x14ac:dyDescent="0.3">
      <c r="A110" s="456">
        <v>2</v>
      </c>
      <c r="B110" s="456" t="s">
        <v>1354</v>
      </c>
      <c r="C110" s="456" t="s">
        <v>1354</v>
      </c>
      <c r="D110" s="456" t="s">
        <v>1345</v>
      </c>
      <c r="E110" s="457" t="s">
        <v>1345</v>
      </c>
      <c r="F110" s="457" t="s">
        <v>1345</v>
      </c>
      <c r="G110" s="457" t="s">
        <v>1345</v>
      </c>
      <c r="H110" s="466" t="s">
        <v>2533</v>
      </c>
      <c r="I110" s="458">
        <f>633254130+629326386</f>
        <v>1262580516</v>
      </c>
      <c r="J110" s="458">
        <f>633254130+39800000</f>
        <v>673054130</v>
      </c>
      <c r="K110" s="458">
        <f t="shared" ref="K110:L110" si="46">633254130+39800000</f>
        <v>673054130</v>
      </c>
      <c r="L110" s="458">
        <f t="shared" si="46"/>
        <v>673054130</v>
      </c>
      <c r="M110" s="458">
        <v>0</v>
      </c>
      <c r="N110" s="458"/>
      <c r="O110" s="458"/>
      <c r="P110" s="458"/>
      <c r="Q110" s="458"/>
      <c r="R110" s="458"/>
      <c r="S110" s="458"/>
      <c r="T110" s="458"/>
      <c r="U110" s="458"/>
      <c r="V110" s="458"/>
      <c r="W110" s="458"/>
      <c r="X110" s="458"/>
      <c r="Y110" s="787">
        <f t="shared" si="45"/>
        <v>1262580516</v>
      </c>
      <c r="Z110" s="787">
        <f t="shared" si="45"/>
        <v>673054130</v>
      </c>
      <c r="AA110" s="787">
        <f t="shared" si="45"/>
        <v>673054130</v>
      </c>
      <c r="AB110" s="787">
        <f t="shared" si="45"/>
        <v>673054130</v>
      </c>
      <c r="AC110" s="453"/>
    </row>
    <row r="111" spans="1:30" ht="16.5" thickTop="1" thickBot="1" x14ac:dyDescent="0.3">
      <c r="A111" s="456">
        <v>2</v>
      </c>
      <c r="B111" s="456" t="s">
        <v>1354</v>
      </c>
      <c r="C111" s="456" t="s">
        <v>1354</v>
      </c>
      <c r="D111" s="456" t="s">
        <v>1345</v>
      </c>
      <c r="E111" s="457" t="s">
        <v>1345</v>
      </c>
      <c r="F111" s="457" t="s">
        <v>1345</v>
      </c>
      <c r="G111" s="457" t="s">
        <v>1345</v>
      </c>
      <c r="H111" s="466" t="s">
        <v>2534</v>
      </c>
      <c r="I111" s="458">
        <v>0</v>
      </c>
      <c r="J111" s="458">
        <v>0</v>
      </c>
      <c r="K111" s="458">
        <v>0</v>
      </c>
      <c r="L111" s="458">
        <v>0</v>
      </c>
      <c r="M111" s="458">
        <v>9067542770</v>
      </c>
      <c r="N111" s="458">
        <v>9057327022</v>
      </c>
      <c r="O111" s="458">
        <v>0</v>
      </c>
      <c r="P111" s="458">
        <v>0</v>
      </c>
      <c r="Q111" s="458"/>
      <c r="R111" s="458"/>
      <c r="S111" s="458"/>
      <c r="T111" s="458"/>
      <c r="U111" s="458"/>
      <c r="V111" s="458"/>
      <c r="W111" s="458"/>
      <c r="X111" s="458"/>
      <c r="Y111" s="787">
        <f t="shared" si="45"/>
        <v>9067542770</v>
      </c>
      <c r="Z111" s="787">
        <f t="shared" si="45"/>
        <v>9057327022</v>
      </c>
      <c r="AA111" s="787">
        <f t="shared" si="45"/>
        <v>0</v>
      </c>
      <c r="AB111" s="787">
        <f t="shared" si="45"/>
        <v>0</v>
      </c>
      <c r="AC111" s="453"/>
      <c r="AD111" s="802"/>
    </row>
    <row r="112" spans="1:30" ht="16.5" thickTop="1" thickBot="1" x14ac:dyDescent="0.3">
      <c r="A112" s="460">
        <v>2</v>
      </c>
      <c r="B112" s="460" t="s">
        <v>1354</v>
      </c>
      <c r="C112" s="460" t="s">
        <v>1354</v>
      </c>
      <c r="D112" s="460" t="s">
        <v>1350</v>
      </c>
      <c r="E112" s="467"/>
      <c r="F112" s="467"/>
      <c r="G112" s="465"/>
      <c r="H112" s="465" t="s">
        <v>1746</v>
      </c>
      <c r="I112" s="468">
        <f>+I113</f>
        <v>800000000</v>
      </c>
      <c r="J112" s="468">
        <f t="shared" ref="J112:Z114" si="47">+J113</f>
        <v>738475995</v>
      </c>
      <c r="K112" s="468">
        <f t="shared" si="47"/>
        <v>618582500</v>
      </c>
      <c r="L112" s="468">
        <f t="shared" si="47"/>
        <v>618582500</v>
      </c>
      <c r="M112" s="468">
        <f t="shared" si="47"/>
        <v>0</v>
      </c>
      <c r="N112" s="468">
        <f t="shared" si="47"/>
        <v>0</v>
      </c>
      <c r="O112" s="468">
        <f t="shared" si="47"/>
        <v>0</v>
      </c>
      <c r="P112" s="468">
        <f t="shared" si="47"/>
        <v>0</v>
      </c>
      <c r="Q112" s="468">
        <f t="shared" si="47"/>
        <v>0</v>
      </c>
      <c r="R112" s="468">
        <f t="shared" si="47"/>
        <v>0</v>
      </c>
      <c r="S112" s="468">
        <f t="shared" si="47"/>
        <v>0</v>
      </c>
      <c r="T112" s="468">
        <f t="shared" si="47"/>
        <v>0</v>
      </c>
      <c r="U112" s="468">
        <f t="shared" si="47"/>
        <v>0</v>
      </c>
      <c r="V112" s="468">
        <f t="shared" si="47"/>
        <v>0</v>
      </c>
      <c r="W112" s="468">
        <f t="shared" si="47"/>
        <v>0</v>
      </c>
      <c r="X112" s="468">
        <f t="shared" si="47"/>
        <v>0</v>
      </c>
      <c r="Y112" s="791">
        <f t="shared" si="45"/>
        <v>800000000</v>
      </c>
      <c r="Z112" s="791">
        <f t="shared" si="45"/>
        <v>738475995</v>
      </c>
      <c r="AA112" s="791">
        <f t="shared" si="45"/>
        <v>618582500</v>
      </c>
      <c r="AB112" s="791">
        <f t="shared" si="45"/>
        <v>618582500</v>
      </c>
      <c r="AC112" s="453"/>
    </row>
    <row r="113" spans="1:29" ht="16.5" thickTop="1" thickBot="1" x14ac:dyDescent="0.3">
      <c r="A113" s="460">
        <v>2</v>
      </c>
      <c r="B113" s="460" t="s">
        <v>1354</v>
      </c>
      <c r="C113" s="460" t="s">
        <v>1354</v>
      </c>
      <c r="D113" s="460" t="s">
        <v>1350</v>
      </c>
      <c r="E113" s="460" t="s">
        <v>1345</v>
      </c>
      <c r="F113" s="460"/>
      <c r="G113" s="460"/>
      <c r="H113" s="465" t="s">
        <v>1447</v>
      </c>
      <c r="I113" s="461">
        <f>+I114</f>
        <v>800000000</v>
      </c>
      <c r="J113" s="461">
        <f t="shared" si="47"/>
        <v>738475995</v>
      </c>
      <c r="K113" s="461">
        <f t="shared" si="47"/>
        <v>618582500</v>
      </c>
      <c r="L113" s="461">
        <f t="shared" si="47"/>
        <v>618582500</v>
      </c>
      <c r="M113" s="461">
        <f t="shared" si="47"/>
        <v>0</v>
      </c>
      <c r="N113" s="461">
        <f t="shared" si="47"/>
        <v>0</v>
      </c>
      <c r="O113" s="461">
        <f t="shared" si="47"/>
        <v>0</v>
      </c>
      <c r="P113" s="461">
        <f t="shared" si="47"/>
        <v>0</v>
      </c>
      <c r="Q113" s="461">
        <f t="shared" si="47"/>
        <v>0</v>
      </c>
      <c r="R113" s="461">
        <f t="shared" si="47"/>
        <v>0</v>
      </c>
      <c r="S113" s="461">
        <f t="shared" si="47"/>
        <v>0</v>
      </c>
      <c r="T113" s="461">
        <f t="shared" si="47"/>
        <v>0</v>
      </c>
      <c r="U113" s="461">
        <f t="shared" si="47"/>
        <v>0</v>
      </c>
      <c r="V113" s="461">
        <f t="shared" si="47"/>
        <v>0</v>
      </c>
      <c r="W113" s="461">
        <f t="shared" si="47"/>
        <v>0</v>
      </c>
      <c r="X113" s="461">
        <f t="shared" si="47"/>
        <v>0</v>
      </c>
      <c r="Y113" s="791">
        <f t="shared" si="45"/>
        <v>800000000</v>
      </c>
      <c r="Z113" s="791">
        <f t="shared" si="45"/>
        <v>738475995</v>
      </c>
      <c r="AA113" s="791">
        <f t="shared" si="45"/>
        <v>618582500</v>
      </c>
      <c r="AB113" s="791">
        <f t="shared" si="45"/>
        <v>618582500</v>
      </c>
      <c r="AC113" s="453"/>
    </row>
    <row r="114" spans="1:29" ht="16.5" thickTop="1" thickBot="1" x14ac:dyDescent="0.3">
      <c r="A114" s="456">
        <v>2</v>
      </c>
      <c r="B114" s="456" t="s">
        <v>1354</v>
      </c>
      <c r="C114" s="456" t="s">
        <v>1354</v>
      </c>
      <c r="D114" s="457" t="s">
        <v>1350</v>
      </c>
      <c r="E114" s="457" t="s">
        <v>1345</v>
      </c>
      <c r="F114" s="457" t="s">
        <v>1345</v>
      </c>
      <c r="G114" s="456"/>
      <c r="H114" s="466" t="s">
        <v>1448</v>
      </c>
      <c r="I114" s="505">
        <f>SUM(I115:I115)</f>
        <v>800000000</v>
      </c>
      <c r="J114" s="505">
        <f>SUM(J115:J115)</f>
        <v>738475995</v>
      </c>
      <c r="K114" s="505">
        <f t="shared" si="47"/>
        <v>618582500</v>
      </c>
      <c r="L114" s="505">
        <f t="shared" si="47"/>
        <v>618582500</v>
      </c>
      <c r="M114" s="505">
        <f t="shared" si="47"/>
        <v>0</v>
      </c>
      <c r="N114" s="505">
        <f t="shared" si="47"/>
        <v>0</v>
      </c>
      <c r="O114" s="505">
        <f t="shared" si="47"/>
        <v>0</v>
      </c>
      <c r="P114" s="505">
        <f t="shared" si="47"/>
        <v>0</v>
      </c>
      <c r="Q114" s="505">
        <f t="shared" si="47"/>
        <v>0</v>
      </c>
      <c r="R114" s="505">
        <f t="shared" si="47"/>
        <v>0</v>
      </c>
      <c r="S114" s="505">
        <f t="shared" si="47"/>
        <v>0</v>
      </c>
      <c r="T114" s="505">
        <f t="shared" si="47"/>
        <v>0</v>
      </c>
      <c r="U114" s="505">
        <f t="shared" si="47"/>
        <v>0</v>
      </c>
      <c r="V114" s="505">
        <f t="shared" si="47"/>
        <v>0</v>
      </c>
      <c r="W114" s="505">
        <f t="shared" si="47"/>
        <v>0</v>
      </c>
      <c r="X114" s="505">
        <f t="shared" si="47"/>
        <v>0</v>
      </c>
      <c r="Y114" s="796">
        <f t="shared" si="47"/>
        <v>800000000</v>
      </c>
      <c r="Z114" s="796">
        <f t="shared" si="47"/>
        <v>738475995</v>
      </c>
      <c r="AA114" s="796">
        <f>+AA115</f>
        <v>618582500</v>
      </c>
      <c r="AB114" s="796">
        <f>+AB115</f>
        <v>618582500</v>
      </c>
      <c r="AC114" s="453"/>
    </row>
    <row r="115" spans="1:29" ht="16.5" thickTop="1" thickBot="1" x14ac:dyDescent="0.3">
      <c r="A115" s="456">
        <v>2</v>
      </c>
      <c r="B115" s="456" t="s">
        <v>1354</v>
      </c>
      <c r="C115" s="456" t="s">
        <v>1354</v>
      </c>
      <c r="D115" s="457" t="s">
        <v>1350</v>
      </c>
      <c r="E115" s="457" t="s">
        <v>1345</v>
      </c>
      <c r="F115" s="457" t="s">
        <v>1345</v>
      </c>
      <c r="G115" s="457" t="s">
        <v>1345</v>
      </c>
      <c r="H115" s="466" t="s">
        <v>2535</v>
      </c>
      <c r="I115" s="459">
        <v>800000000</v>
      </c>
      <c r="J115" s="458">
        <v>738475995</v>
      </c>
      <c r="K115" s="458">
        <v>618582500</v>
      </c>
      <c r="L115" s="458">
        <v>618582500</v>
      </c>
      <c r="M115" s="458"/>
      <c r="N115" s="458"/>
      <c r="O115" s="458"/>
      <c r="P115" s="458"/>
      <c r="Q115" s="458"/>
      <c r="R115" s="458"/>
      <c r="S115" s="458"/>
      <c r="T115" s="458"/>
      <c r="U115" s="458"/>
      <c r="V115" s="458"/>
      <c r="W115" s="458"/>
      <c r="X115" s="458"/>
      <c r="Y115" s="787">
        <f t="shared" ref="Y115:AB134" si="48">+I115+M115+Q115+U115</f>
        <v>800000000</v>
      </c>
      <c r="Z115" s="787">
        <f t="shared" si="48"/>
        <v>738475995</v>
      </c>
      <c r="AA115" s="787">
        <f t="shared" si="48"/>
        <v>618582500</v>
      </c>
      <c r="AB115" s="787">
        <f t="shared" si="48"/>
        <v>618582500</v>
      </c>
      <c r="AC115" s="453"/>
    </row>
    <row r="116" spans="1:29" ht="16.5" thickTop="1" thickBot="1" x14ac:dyDescent="0.3">
      <c r="A116" s="460">
        <v>2</v>
      </c>
      <c r="B116" s="460" t="s">
        <v>1354</v>
      </c>
      <c r="C116" s="460" t="s">
        <v>1354</v>
      </c>
      <c r="D116" s="460" t="s">
        <v>1354</v>
      </c>
      <c r="E116" s="467"/>
      <c r="F116" s="467"/>
      <c r="G116" s="465"/>
      <c r="H116" s="465" t="s">
        <v>1747</v>
      </c>
      <c r="I116" s="468">
        <f>+I117</f>
        <v>13307107458</v>
      </c>
      <c r="J116" s="468">
        <f t="shared" ref="J116:X118" si="49">+J117</f>
        <v>13307107289</v>
      </c>
      <c r="K116" s="468">
        <f t="shared" si="49"/>
        <v>13221086690</v>
      </c>
      <c r="L116" s="468">
        <f t="shared" si="49"/>
        <v>11285911279</v>
      </c>
      <c r="M116" s="468">
        <f t="shared" si="49"/>
        <v>0</v>
      </c>
      <c r="N116" s="468">
        <f t="shared" si="49"/>
        <v>0</v>
      </c>
      <c r="O116" s="468">
        <f t="shared" si="49"/>
        <v>0</v>
      </c>
      <c r="P116" s="468">
        <f t="shared" si="49"/>
        <v>0</v>
      </c>
      <c r="Q116" s="468">
        <f t="shared" si="49"/>
        <v>0</v>
      </c>
      <c r="R116" s="468">
        <f t="shared" si="49"/>
        <v>0</v>
      </c>
      <c r="S116" s="468">
        <f t="shared" si="49"/>
        <v>0</v>
      </c>
      <c r="T116" s="468">
        <f t="shared" si="49"/>
        <v>0</v>
      </c>
      <c r="U116" s="468">
        <f t="shared" si="49"/>
        <v>0</v>
      </c>
      <c r="V116" s="468">
        <f t="shared" si="49"/>
        <v>0</v>
      </c>
      <c r="W116" s="468">
        <f t="shared" si="49"/>
        <v>0</v>
      </c>
      <c r="X116" s="468">
        <f t="shared" si="49"/>
        <v>0</v>
      </c>
      <c r="Y116" s="791">
        <f t="shared" si="48"/>
        <v>13307107458</v>
      </c>
      <c r="Z116" s="791">
        <f t="shared" si="48"/>
        <v>13307107289</v>
      </c>
      <c r="AA116" s="791">
        <f t="shared" si="48"/>
        <v>13221086690</v>
      </c>
      <c r="AB116" s="791">
        <f t="shared" si="48"/>
        <v>11285911279</v>
      </c>
      <c r="AC116" s="453"/>
    </row>
    <row r="117" spans="1:29" ht="16.5" thickTop="1" thickBot="1" x14ac:dyDescent="0.3">
      <c r="A117" s="460">
        <v>2</v>
      </c>
      <c r="B117" s="460" t="s">
        <v>1354</v>
      </c>
      <c r="C117" s="460" t="s">
        <v>1354</v>
      </c>
      <c r="D117" s="460" t="s">
        <v>1354</v>
      </c>
      <c r="E117" s="460" t="s">
        <v>1345</v>
      </c>
      <c r="F117" s="460"/>
      <c r="G117" s="460"/>
      <c r="H117" s="465" t="s">
        <v>1447</v>
      </c>
      <c r="I117" s="461">
        <f>+I118</f>
        <v>13307107458</v>
      </c>
      <c r="J117" s="461">
        <f t="shared" si="49"/>
        <v>13307107289</v>
      </c>
      <c r="K117" s="461">
        <f t="shared" si="49"/>
        <v>13221086690</v>
      </c>
      <c r="L117" s="461">
        <f t="shared" si="49"/>
        <v>11285911279</v>
      </c>
      <c r="M117" s="461">
        <f t="shared" si="49"/>
        <v>0</v>
      </c>
      <c r="N117" s="461">
        <f t="shared" si="49"/>
        <v>0</v>
      </c>
      <c r="O117" s="461">
        <f t="shared" si="49"/>
        <v>0</v>
      </c>
      <c r="P117" s="461">
        <f t="shared" si="49"/>
        <v>0</v>
      </c>
      <c r="Q117" s="461">
        <f t="shared" si="49"/>
        <v>0</v>
      </c>
      <c r="R117" s="461">
        <f t="shared" si="49"/>
        <v>0</v>
      </c>
      <c r="S117" s="461">
        <f t="shared" si="49"/>
        <v>0</v>
      </c>
      <c r="T117" s="461">
        <f t="shared" si="49"/>
        <v>0</v>
      </c>
      <c r="U117" s="461">
        <f t="shared" si="49"/>
        <v>0</v>
      </c>
      <c r="V117" s="461">
        <f t="shared" si="49"/>
        <v>0</v>
      </c>
      <c r="W117" s="461">
        <f t="shared" si="49"/>
        <v>0</v>
      </c>
      <c r="X117" s="461">
        <f t="shared" si="49"/>
        <v>0</v>
      </c>
      <c r="Y117" s="791">
        <f t="shared" si="48"/>
        <v>13307107458</v>
      </c>
      <c r="Z117" s="791">
        <f t="shared" si="48"/>
        <v>13307107289</v>
      </c>
      <c r="AA117" s="791">
        <f t="shared" si="48"/>
        <v>13221086690</v>
      </c>
      <c r="AB117" s="791">
        <f t="shared" si="48"/>
        <v>11285911279</v>
      </c>
      <c r="AC117" s="453"/>
    </row>
    <row r="118" spans="1:29" ht="16.5" thickTop="1" thickBot="1" x14ac:dyDescent="0.3">
      <c r="A118" s="456">
        <v>2</v>
      </c>
      <c r="B118" s="456" t="s">
        <v>1354</v>
      </c>
      <c r="C118" s="456" t="s">
        <v>1354</v>
      </c>
      <c r="D118" s="457" t="s">
        <v>1354</v>
      </c>
      <c r="E118" s="457" t="s">
        <v>1345</v>
      </c>
      <c r="F118" s="457" t="s">
        <v>1345</v>
      </c>
      <c r="G118" s="456"/>
      <c r="H118" s="466" t="s">
        <v>1448</v>
      </c>
      <c r="I118" s="505">
        <f>SUM(I119:I120)</f>
        <v>13307107458</v>
      </c>
      <c r="J118" s="505">
        <f>SUM(J119:J120)</f>
        <v>13307107289</v>
      </c>
      <c r="K118" s="505">
        <f>SUM(K119:K120)</f>
        <v>13221086690</v>
      </c>
      <c r="L118" s="505">
        <f>SUM(L119:L120)</f>
        <v>11285911279</v>
      </c>
      <c r="M118" s="505">
        <f t="shared" si="49"/>
        <v>0</v>
      </c>
      <c r="N118" s="505">
        <f t="shared" si="49"/>
        <v>0</v>
      </c>
      <c r="O118" s="505">
        <f t="shared" si="49"/>
        <v>0</v>
      </c>
      <c r="P118" s="505">
        <f t="shared" si="49"/>
        <v>0</v>
      </c>
      <c r="Q118" s="505">
        <f t="shared" si="49"/>
        <v>0</v>
      </c>
      <c r="R118" s="505">
        <f t="shared" si="49"/>
        <v>0</v>
      </c>
      <c r="S118" s="505">
        <f t="shared" si="49"/>
        <v>0</v>
      </c>
      <c r="T118" s="505">
        <f t="shared" si="49"/>
        <v>0</v>
      </c>
      <c r="U118" s="505">
        <f t="shared" si="49"/>
        <v>0</v>
      </c>
      <c r="V118" s="505">
        <f t="shared" si="49"/>
        <v>0</v>
      </c>
      <c r="W118" s="505">
        <f t="shared" si="49"/>
        <v>0</v>
      </c>
      <c r="X118" s="505">
        <f t="shared" si="49"/>
        <v>0</v>
      </c>
      <c r="Y118" s="787">
        <f t="shared" si="48"/>
        <v>13307107458</v>
      </c>
      <c r="Z118" s="787">
        <f t="shared" si="48"/>
        <v>13307107289</v>
      </c>
      <c r="AA118" s="787">
        <f t="shared" si="48"/>
        <v>13221086690</v>
      </c>
      <c r="AB118" s="787">
        <f t="shared" si="48"/>
        <v>11285911279</v>
      </c>
      <c r="AC118" s="453"/>
    </row>
    <row r="119" spans="1:29" ht="16.5" thickTop="1" thickBot="1" x14ac:dyDescent="0.3">
      <c r="A119" s="456">
        <v>2</v>
      </c>
      <c r="B119" s="456" t="s">
        <v>1354</v>
      </c>
      <c r="C119" s="456" t="s">
        <v>1354</v>
      </c>
      <c r="D119" s="457" t="s">
        <v>1354</v>
      </c>
      <c r="E119" s="457" t="s">
        <v>1345</v>
      </c>
      <c r="F119" s="457" t="s">
        <v>1345</v>
      </c>
      <c r="G119" s="457" t="s">
        <v>1345</v>
      </c>
      <c r="H119" s="466" t="s">
        <v>2532</v>
      </c>
      <c r="I119" s="458">
        <v>12909200638</v>
      </c>
      <c r="J119" s="458">
        <v>12909200469</v>
      </c>
      <c r="K119" s="458">
        <v>12876569526</v>
      </c>
      <c r="L119" s="458">
        <v>10941394115</v>
      </c>
      <c r="M119" s="458"/>
      <c r="N119" s="458"/>
      <c r="O119" s="458"/>
      <c r="P119" s="458"/>
      <c r="Q119" s="458"/>
      <c r="R119" s="458"/>
      <c r="S119" s="458"/>
      <c r="T119" s="458"/>
      <c r="U119" s="458"/>
      <c r="V119" s="458"/>
      <c r="W119" s="458"/>
      <c r="X119" s="458"/>
      <c r="Y119" s="787">
        <f t="shared" si="48"/>
        <v>12909200638</v>
      </c>
      <c r="Z119" s="787">
        <f t="shared" si="48"/>
        <v>12909200469</v>
      </c>
      <c r="AA119" s="787">
        <f t="shared" si="48"/>
        <v>12876569526</v>
      </c>
      <c r="AB119" s="787">
        <f t="shared" si="48"/>
        <v>10941394115</v>
      </c>
      <c r="AC119" s="453"/>
    </row>
    <row r="120" spans="1:29" ht="16.5" thickTop="1" thickBot="1" x14ac:dyDescent="0.3">
      <c r="A120" s="456"/>
      <c r="B120" s="456"/>
      <c r="C120" s="456"/>
      <c r="D120" s="457"/>
      <c r="E120" s="457"/>
      <c r="F120" s="457"/>
      <c r="G120" s="457"/>
      <c r="H120" s="466" t="s">
        <v>2536</v>
      </c>
      <c r="I120" s="458">
        <v>397906820</v>
      </c>
      <c r="J120" s="458">
        <v>397906820</v>
      </c>
      <c r="K120" s="458">
        <v>344517164</v>
      </c>
      <c r="L120" s="458">
        <v>344517164</v>
      </c>
      <c r="M120" s="458"/>
      <c r="N120" s="458"/>
      <c r="O120" s="458"/>
      <c r="P120" s="458"/>
      <c r="Q120" s="458"/>
      <c r="R120" s="458"/>
      <c r="S120" s="458"/>
      <c r="T120" s="458"/>
      <c r="U120" s="458"/>
      <c r="V120" s="458"/>
      <c r="W120" s="458"/>
      <c r="X120" s="458"/>
      <c r="Y120" s="787">
        <f>+I120+M120+Q120+U120</f>
        <v>397906820</v>
      </c>
      <c r="Z120" s="787">
        <f>+J120+N120+R120+V120</f>
        <v>397906820</v>
      </c>
      <c r="AA120" s="787">
        <f>+K120+O120+S120+W120</f>
        <v>344517164</v>
      </c>
      <c r="AB120" s="787">
        <f>+L120+P120+T120+X120</f>
        <v>344517164</v>
      </c>
      <c r="AC120" s="453"/>
    </row>
    <row r="121" spans="1:29" ht="16.5" thickTop="1" thickBot="1" x14ac:dyDescent="0.3">
      <c r="A121" s="460">
        <v>2</v>
      </c>
      <c r="B121" s="460" t="s">
        <v>1354</v>
      </c>
      <c r="C121" s="460" t="s">
        <v>1354</v>
      </c>
      <c r="D121" s="460" t="s">
        <v>1355</v>
      </c>
      <c r="E121" s="467"/>
      <c r="F121" s="467"/>
      <c r="G121" s="465"/>
      <c r="H121" s="465" t="s">
        <v>1748</v>
      </c>
      <c r="I121" s="790">
        <f>+I122</f>
        <v>240000000</v>
      </c>
      <c r="J121" s="468">
        <f t="shared" ref="J121:X127" si="50">+J122</f>
        <v>90000000</v>
      </c>
      <c r="K121" s="468">
        <f t="shared" si="50"/>
        <v>90000000</v>
      </c>
      <c r="L121" s="468">
        <f t="shared" si="50"/>
        <v>90000000</v>
      </c>
      <c r="M121" s="468">
        <f t="shared" si="50"/>
        <v>0</v>
      </c>
      <c r="N121" s="468">
        <f t="shared" si="50"/>
        <v>0</v>
      </c>
      <c r="O121" s="468">
        <f t="shared" si="50"/>
        <v>0</v>
      </c>
      <c r="P121" s="468">
        <f t="shared" si="50"/>
        <v>0</v>
      </c>
      <c r="Q121" s="468">
        <f t="shared" si="50"/>
        <v>0</v>
      </c>
      <c r="R121" s="468">
        <f t="shared" si="50"/>
        <v>0</v>
      </c>
      <c r="S121" s="468">
        <f t="shared" si="50"/>
        <v>0</v>
      </c>
      <c r="T121" s="468">
        <f t="shared" si="50"/>
        <v>0</v>
      </c>
      <c r="U121" s="468">
        <f t="shared" si="50"/>
        <v>0</v>
      </c>
      <c r="V121" s="468">
        <f t="shared" si="50"/>
        <v>0</v>
      </c>
      <c r="W121" s="468">
        <f t="shared" si="50"/>
        <v>0</v>
      </c>
      <c r="X121" s="468">
        <f t="shared" si="50"/>
        <v>0</v>
      </c>
      <c r="Y121" s="791">
        <f t="shared" si="48"/>
        <v>240000000</v>
      </c>
      <c r="Z121" s="791">
        <f t="shared" si="48"/>
        <v>90000000</v>
      </c>
      <c r="AA121" s="791">
        <f t="shared" si="48"/>
        <v>90000000</v>
      </c>
      <c r="AB121" s="791">
        <f t="shared" si="48"/>
        <v>90000000</v>
      </c>
      <c r="AC121" s="453"/>
    </row>
    <row r="122" spans="1:29" ht="16.5" thickTop="1" thickBot="1" x14ac:dyDescent="0.3">
      <c r="A122" s="460">
        <v>2</v>
      </c>
      <c r="B122" s="460" t="s">
        <v>1354</v>
      </c>
      <c r="C122" s="460" t="s">
        <v>1354</v>
      </c>
      <c r="D122" s="460" t="s">
        <v>1355</v>
      </c>
      <c r="E122" s="460" t="s">
        <v>1345</v>
      </c>
      <c r="F122" s="460"/>
      <c r="G122" s="460"/>
      <c r="H122" s="465" t="s">
        <v>1447</v>
      </c>
      <c r="I122" s="461">
        <f>+I123</f>
        <v>240000000</v>
      </c>
      <c r="J122" s="461">
        <f t="shared" si="50"/>
        <v>90000000</v>
      </c>
      <c r="K122" s="461">
        <f t="shared" si="50"/>
        <v>90000000</v>
      </c>
      <c r="L122" s="461">
        <f t="shared" si="50"/>
        <v>90000000</v>
      </c>
      <c r="M122" s="461">
        <f t="shared" si="50"/>
        <v>0</v>
      </c>
      <c r="N122" s="461">
        <f t="shared" si="50"/>
        <v>0</v>
      </c>
      <c r="O122" s="461">
        <f t="shared" si="50"/>
        <v>0</v>
      </c>
      <c r="P122" s="461">
        <f t="shared" si="50"/>
        <v>0</v>
      </c>
      <c r="Q122" s="461">
        <f t="shared" si="50"/>
        <v>0</v>
      </c>
      <c r="R122" s="461">
        <f t="shared" si="50"/>
        <v>0</v>
      </c>
      <c r="S122" s="461">
        <f t="shared" si="50"/>
        <v>0</v>
      </c>
      <c r="T122" s="461">
        <f t="shared" si="50"/>
        <v>0</v>
      </c>
      <c r="U122" s="461">
        <f t="shared" si="50"/>
        <v>0</v>
      </c>
      <c r="V122" s="461">
        <f t="shared" si="50"/>
        <v>0</v>
      </c>
      <c r="W122" s="461">
        <f t="shared" si="50"/>
        <v>0</v>
      </c>
      <c r="X122" s="461">
        <f t="shared" si="50"/>
        <v>0</v>
      </c>
      <c r="Y122" s="791">
        <f t="shared" si="48"/>
        <v>240000000</v>
      </c>
      <c r="Z122" s="791">
        <f t="shared" si="48"/>
        <v>90000000</v>
      </c>
      <c r="AA122" s="791">
        <f t="shared" si="48"/>
        <v>90000000</v>
      </c>
      <c r="AB122" s="791">
        <f t="shared" si="48"/>
        <v>90000000</v>
      </c>
      <c r="AC122" s="453"/>
    </row>
    <row r="123" spans="1:29" ht="16.5" thickTop="1" thickBot="1" x14ac:dyDescent="0.3">
      <c r="A123" s="456">
        <v>2</v>
      </c>
      <c r="B123" s="456" t="s">
        <v>1354</v>
      </c>
      <c r="C123" s="456" t="s">
        <v>1354</v>
      </c>
      <c r="D123" s="508" t="s">
        <v>1355</v>
      </c>
      <c r="E123" s="457" t="s">
        <v>1345</v>
      </c>
      <c r="F123" s="457" t="s">
        <v>1345</v>
      </c>
      <c r="G123" s="456"/>
      <c r="H123" s="466" t="s">
        <v>1448</v>
      </c>
      <c r="I123" s="505">
        <f>SUM(I124:I124)</f>
        <v>240000000</v>
      </c>
      <c r="J123" s="505">
        <f>SUM(J124:J124)</f>
        <v>90000000</v>
      </c>
      <c r="K123" s="505">
        <f>SUM(K124:K124)</f>
        <v>90000000</v>
      </c>
      <c r="L123" s="505">
        <f>SUM(L124:L124)</f>
        <v>90000000</v>
      </c>
      <c r="M123" s="505">
        <f>SUM(M124:M124)</f>
        <v>0</v>
      </c>
      <c r="N123" s="505">
        <f t="shared" si="50"/>
        <v>0</v>
      </c>
      <c r="O123" s="505">
        <f t="shared" si="50"/>
        <v>0</v>
      </c>
      <c r="P123" s="505">
        <f t="shared" si="50"/>
        <v>0</v>
      </c>
      <c r="Q123" s="505">
        <f t="shared" si="50"/>
        <v>0</v>
      </c>
      <c r="R123" s="505">
        <f t="shared" si="50"/>
        <v>0</v>
      </c>
      <c r="S123" s="505">
        <f t="shared" si="50"/>
        <v>0</v>
      </c>
      <c r="T123" s="505">
        <f t="shared" si="50"/>
        <v>0</v>
      </c>
      <c r="U123" s="505">
        <f t="shared" si="50"/>
        <v>0</v>
      </c>
      <c r="V123" s="505">
        <f t="shared" si="50"/>
        <v>0</v>
      </c>
      <c r="W123" s="505">
        <f t="shared" si="50"/>
        <v>0</v>
      </c>
      <c r="X123" s="505">
        <f t="shared" si="50"/>
        <v>0</v>
      </c>
      <c r="Y123" s="787">
        <f t="shared" si="48"/>
        <v>240000000</v>
      </c>
      <c r="Z123" s="787">
        <f t="shared" si="48"/>
        <v>90000000</v>
      </c>
      <c r="AA123" s="787">
        <f t="shared" si="48"/>
        <v>90000000</v>
      </c>
      <c r="AB123" s="787">
        <f t="shared" si="48"/>
        <v>90000000</v>
      </c>
      <c r="AC123" s="453"/>
    </row>
    <row r="124" spans="1:29" ht="16.5" thickTop="1" thickBot="1" x14ac:dyDescent="0.3">
      <c r="A124" s="456">
        <v>2</v>
      </c>
      <c r="B124" s="456" t="s">
        <v>1354</v>
      </c>
      <c r="C124" s="456" t="s">
        <v>1354</v>
      </c>
      <c r="D124" s="508" t="s">
        <v>1355</v>
      </c>
      <c r="E124" s="457" t="s">
        <v>1345</v>
      </c>
      <c r="F124" s="457" t="s">
        <v>1345</v>
      </c>
      <c r="G124" s="457" t="s">
        <v>1345</v>
      </c>
      <c r="H124" s="466" t="s">
        <v>2537</v>
      </c>
      <c r="I124" s="458">
        <v>240000000</v>
      </c>
      <c r="J124" s="458">
        <v>90000000</v>
      </c>
      <c r="K124" s="458">
        <v>90000000</v>
      </c>
      <c r="L124" s="458">
        <v>90000000</v>
      </c>
      <c r="M124" s="458">
        <v>0</v>
      </c>
      <c r="N124" s="458"/>
      <c r="O124" s="458"/>
      <c r="P124" s="458"/>
      <c r="Q124" s="458"/>
      <c r="R124" s="458"/>
      <c r="S124" s="458"/>
      <c r="T124" s="458"/>
      <c r="U124" s="458"/>
      <c r="V124" s="458"/>
      <c r="W124" s="458"/>
      <c r="X124" s="458"/>
      <c r="Y124" s="787">
        <f t="shared" si="48"/>
        <v>240000000</v>
      </c>
      <c r="Z124" s="787">
        <f t="shared" si="48"/>
        <v>90000000</v>
      </c>
      <c r="AA124" s="787">
        <f t="shared" si="48"/>
        <v>90000000</v>
      </c>
      <c r="AB124" s="787">
        <f t="shared" si="48"/>
        <v>90000000</v>
      </c>
      <c r="AC124" s="453"/>
    </row>
    <row r="125" spans="1:29" ht="16.5" thickTop="1" thickBot="1" x14ac:dyDescent="0.3">
      <c r="A125" s="460">
        <v>2</v>
      </c>
      <c r="B125" s="460" t="s">
        <v>1354</v>
      </c>
      <c r="C125" s="460" t="s">
        <v>1354</v>
      </c>
      <c r="D125" s="506" t="s">
        <v>1358</v>
      </c>
      <c r="E125" s="467"/>
      <c r="F125" s="467"/>
      <c r="G125" s="465"/>
      <c r="H125" s="465" t="s">
        <v>2560</v>
      </c>
      <c r="I125" s="790">
        <f>+I126</f>
        <v>0</v>
      </c>
      <c r="J125" s="468">
        <f t="shared" si="50"/>
        <v>0</v>
      </c>
      <c r="K125" s="468">
        <f t="shared" si="50"/>
        <v>0</v>
      </c>
      <c r="L125" s="468">
        <f t="shared" si="50"/>
        <v>0</v>
      </c>
      <c r="M125" s="468">
        <f t="shared" si="50"/>
        <v>9067542770</v>
      </c>
      <c r="N125" s="468">
        <f t="shared" si="50"/>
        <v>9057327022</v>
      </c>
      <c r="O125" s="468">
        <f t="shared" si="50"/>
        <v>0</v>
      </c>
      <c r="P125" s="468">
        <f t="shared" si="50"/>
        <v>0</v>
      </c>
      <c r="Q125" s="468">
        <f t="shared" si="50"/>
        <v>0</v>
      </c>
      <c r="R125" s="468">
        <f t="shared" si="50"/>
        <v>0</v>
      </c>
      <c r="S125" s="468">
        <f t="shared" si="50"/>
        <v>0</v>
      </c>
      <c r="T125" s="468">
        <f t="shared" si="50"/>
        <v>0</v>
      </c>
      <c r="U125" s="468">
        <f t="shared" si="50"/>
        <v>0</v>
      </c>
      <c r="V125" s="468">
        <f t="shared" si="50"/>
        <v>0</v>
      </c>
      <c r="W125" s="468">
        <f t="shared" si="50"/>
        <v>0</v>
      </c>
      <c r="X125" s="468">
        <f t="shared" si="50"/>
        <v>0</v>
      </c>
      <c r="Y125" s="791">
        <f t="shared" si="48"/>
        <v>9067542770</v>
      </c>
      <c r="Z125" s="791">
        <f t="shared" si="48"/>
        <v>9057327022</v>
      </c>
      <c r="AA125" s="791">
        <f t="shared" si="48"/>
        <v>0</v>
      </c>
      <c r="AB125" s="791">
        <f t="shared" si="48"/>
        <v>0</v>
      </c>
      <c r="AC125" s="453"/>
    </row>
    <row r="126" spans="1:29" ht="16.5" thickTop="1" thickBot="1" x14ac:dyDescent="0.3">
      <c r="A126" s="460">
        <v>2</v>
      </c>
      <c r="B126" s="460" t="s">
        <v>1354</v>
      </c>
      <c r="C126" s="460" t="s">
        <v>1354</v>
      </c>
      <c r="D126" s="506" t="s">
        <v>1358</v>
      </c>
      <c r="E126" s="460" t="s">
        <v>1345</v>
      </c>
      <c r="F126" s="460"/>
      <c r="G126" s="460"/>
      <c r="H126" s="465" t="s">
        <v>1447</v>
      </c>
      <c r="I126" s="461">
        <f>+I127</f>
        <v>0</v>
      </c>
      <c r="J126" s="461">
        <f t="shared" si="50"/>
        <v>0</v>
      </c>
      <c r="K126" s="461">
        <f t="shared" si="50"/>
        <v>0</v>
      </c>
      <c r="L126" s="461">
        <f t="shared" si="50"/>
        <v>0</v>
      </c>
      <c r="M126" s="461">
        <f t="shared" si="50"/>
        <v>9067542770</v>
      </c>
      <c r="N126" s="461">
        <f t="shared" si="50"/>
        <v>9057327022</v>
      </c>
      <c r="O126" s="461">
        <f t="shared" si="50"/>
        <v>0</v>
      </c>
      <c r="P126" s="461">
        <f t="shared" si="50"/>
        <v>0</v>
      </c>
      <c r="Q126" s="461">
        <f t="shared" si="50"/>
        <v>0</v>
      </c>
      <c r="R126" s="461">
        <f t="shared" si="50"/>
        <v>0</v>
      </c>
      <c r="S126" s="461">
        <f t="shared" si="50"/>
        <v>0</v>
      </c>
      <c r="T126" s="461">
        <f t="shared" si="50"/>
        <v>0</v>
      </c>
      <c r="U126" s="461">
        <f t="shared" si="50"/>
        <v>0</v>
      </c>
      <c r="V126" s="461">
        <f t="shared" si="50"/>
        <v>0</v>
      </c>
      <c r="W126" s="461">
        <f t="shared" si="50"/>
        <v>0</v>
      </c>
      <c r="X126" s="461">
        <f t="shared" si="50"/>
        <v>0</v>
      </c>
      <c r="Y126" s="791">
        <f t="shared" si="48"/>
        <v>9067542770</v>
      </c>
      <c r="Z126" s="791">
        <f t="shared" si="48"/>
        <v>9057327022</v>
      </c>
      <c r="AA126" s="791">
        <f t="shared" si="48"/>
        <v>0</v>
      </c>
      <c r="AB126" s="791">
        <f t="shared" si="48"/>
        <v>0</v>
      </c>
      <c r="AC126" s="453"/>
    </row>
    <row r="127" spans="1:29" ht="16.5" thickTop="1" thickBot="1" x14ac:dyDescent="0.3">
      <c r="A127" s="456">
        <v>2</v>
      </c>
      <c r="B127" s="456" t="s">
        <v>1354</v>
      </c>
      <c r="C127" s="456" t="s">
        <v>1354</v>
      </c>
      <c r="D127" s="507" t="s">
        <v>1358</v>
      </c>
      <c r="E127" s="457" t="s">
        <v>1345</v>
      </c>
      <c r="F127" s="457" t="s">
        <v>1345</v>
      </c>
      <c r="G127" s="456"/>
      <c r="H127" s="466" t="s">
        <v>1448</v>
      </c>
      <c r="I127" s="505">
        <f>SUM(I128:I128)</f>
        <v>0</v>
      </c>
      <c r="J127" s="505">
        <f>SUM(J128:J128)</f>
        <v>0</v>
      </c>
      <c r="K127" s="505">
        <f>SUM(K128:K128)</f>
        <v>0</v>
      </c>
      <c r="L127" s="505">
        <f>SUM(L128:L128)</f>
        <v>0</v>
      </c>
      <c r="M127" s="505">
        <f>SUM(M128:M128)</f>
        <v>9067542770</v>
      </c>
      <c r="N127" s="505">
        <f t="shared" si="50"/>
        <v>9057327022</v>
      </c>
      <c r="O127" s="505">
        <f t="shared" si="50"/>
        <v>0</v>
      </c>
      <c r="P127" s="505">
        <f t="shared" si="50"/>
        <v>0</v>
      </c>
      <c r="Q127" s="505">
        <f t="shared" si="50"/>
        <v>0</v>
      </c>
      <c r="R127" s="505">
        <f t="shared" si="50"/>
        <v>0</v>
      </c>
      <c r="S127" s="505">
        <f t="shared" si="50"/>
        <v>0</v>
      </c>
      <c r="T127" s="505">
        <f t="shared" si="50"/>
        <v>0</v>
      </c>
      <c r="U127" s="505">
        <f t="shared" si="50"/>
        <v>0</v>
      </c>
      <c r="V127" s="505">
        <f t="shared" si="50"/>
        <v>0</v>
      </c>
      <c r="W127" s="505">
        <f t="shared" si="50"/>
        <v>0</v>
      </c>
      <c r="X127" s="505">
        <f t="shared" si="50"/>
        <v>0</v>
      </c>
      <c r="Y127" s="787">
        <f t="shared" si="48"/>
        <v>9067542770</v>
      </c>
      <c r="Z127" s="787">
        <f t="shared" si="48"/>
        <v>9057327022</v>
      </c>
      <c r="AA127" s="787">
        <f t="shared" si="48"/>
        <v>0</v>
      </c>
      <c r="AB127" s="787">
        <f t="shared" si="48"/>
        <v>0</v>
      </c>
      <c r="AC127" s="453"/>
    </row>
    <row r="128" spans="1:29" ht="16.5" thickTop="1" thickBot="1" x14ac:dyDescent="0.3">
      <c r="A128" s="456">
        <v>2</v>
      </c>
      <c r="B128" s="456" t="s">
        <v>1354</v>
      </c>
      <c r="C128" s="456" t="s">
        <v>1354</v>
      </c>
      <c r="D128" s="507" t="s">
        <v>1358</v>
      </c>
      <c r="E128" s="457" t="s">
        <v>1345</v>
      </c>
      <c r="F128" s="457" t="s">
        <v>1345</v>
      </c>
      <c r="G128" s="457" t="s">
        <v>1345</v>
      </c>
      <c r="H128" s="907" t="s">
        <v>2587</v>
      </c>
      <c r="I128" s="458">
        <v>0</v>
      </c>
      <c r="J128" s="458">
        <v>0</v>
      </c>
      <c r="K128" s="458">
        <v>0</v>
      </c>
      <c r="L128" s="458">
        <v>0</v>
      </c>
      <c r="M128" s="458">
        <v>9067542770</v>
      </c>
      <c r="N128" s="458">
        <v>9057327022</v>
      </c>
      <c r="O128" s="458"/>
      <c r="P128" s="458"/>
      <c r="Q128" s="458"/>
      <c r="R128" s="458"/>
      <c r="S128" s="458"/>
      <c r="T128" s="458"/>
      <c r="U128" s="458"/>
      <c r="V128" s="458"/>
      <c r="W128" s="458"/>
      <c r="X128" s="458"/>
      <c r="Y128" s="787">
        <f t="shared" si="48"/>
        <v>9067542770</v>
      </c>
      <c r="Z128" s="787">
        <f t="shared" si="48"/>
        <v>9057327022</v>
      </c>
      <c r="AA128" s="787">
        <f t="shared" si="48"/>
        <v>0</v>
      </c>
      <c r="AB128" s="787">
        <f t="shared" si="48"/>
        <v>0</v>
      </c>
      <c r="AC128" s="453"/>
    </row>
    <row r="129" spans="1:29" ht="16.5" thickTop="1" thickBot="1" x14ac:dyDescent="0.3">
      <c r="A129" s="455">
        <v>2</v>
      </c>
      <c r="B129" s="454" t="s">
        <v>1354</v>
      </c>
      <c r="C129" s="454" t="s">
        <v>1355</v>
      </c>
      <c r="D129" s="454"/>
      <c r="E129" s="462"/>
      <c r="F129" s="462"/>
      <c r="G129" s="462"/>
      <c r="H129" s="463" t="s">
        <v>1559</v>
      </c>
      <c r="I129" s="464">
        <f t="shared" ref="I129:X129" si="51">+I130+I135</f>
        <v>10441786615</v>
      </c>
      <c r="J129" s="464">
        <f t="shared" si="51"/>
        <v>2711324587</v>
      </c>
      <c r="K129" s="464">
        <f t="shared" si="51"/>
        <v>1730603003</v>
      </c>
      <c r="L129" s="464">
        <f t="shared" si="51"/>
        <v>1730603003</v>
      </c>
      <c r="M129" s="464">
        <f t="shared" si="51"/>
        <v>0</v>
      </c>
      <c r="N129" s="464">
        <f t="shared" si="51"/>
        <v>0</v>
      </c>
      <c r="O129" s="464">
        <f t="shared" si="51"/>
        <v>0</v>
      </c>
      <c r="P129" s="464">
        <f t="shared" si="51"/>
        <v>0</v>
      </c>
      <c r="Q129" s="464">
        <f t="shared" si="51"/>
        <v>0</v>
      </c>
      <c r="R129" s="464">
        <f t="shared" si="51"/>
        <v>0</v>
      </c>
      <c r="S129" s="464">
        <f t="shared" si="51"/>
        <v>0</v>
      </c>
      <c r="T129" s="464">
        <f t="shared" si="51"/>
        <v>0</v>
      </c>
      <c r="U129" s="464">
        <f t="shared" si="51"/>
        <v>0</v>
      </c>
      <c r="V129" s="464">
        <f t="shared" si="51"/>
        <v>0</v>
      </c>
      <c r="W129" s="464">
        <f t="shared" si="51"/>
        <v>0</v>
      </c>
      <c r="X129" s="464">
        <f t="shared" si="51"/>
        <v>0</v>
      </c>
      <c r="Y129" s="785">
        <f t="shared" si="48"/>
        <v>10441786615</v>
      </c>
      <c r="Z129" s="785">
        <f t="shared" si="48"/>
        <v>2711324587</v>
      </c>
      <c r="AA129" s="785">
        <f t="shared" si="48"/>
        <v>1730603003</v>
      </c>
      <c r="AB129" s="785">
        <f t="shared" si="48"/>
        <v>1730603003</v>
      </c>
      <c r="AC129" s="453"/>
    </row>
    <row r="130" spans="1:29" ht="16.5" thickTop="1" thickBot="1" x14ac:dyDescent="0.3">
      <c r="A130" s="460">
        <v>2</v>
      </c>
      <c r="B130" s="460" t="s">
        <v>1354</v>
      </c>
      <c r="C130" s="460" t="s">
        <v>1355</v>
      </c>
      <c r="D130" s="460" t="s">
        <v>1345</v>
      </c>
      <c r="E130" s="467"/>
      <c r="F130" s="467"/>
      <c r="G130" s="465"/>
      <c r="H130" s="465" t="s">
        <v>1749</v>
      </c>
      <c r="I130" s="468">
        <f>+I131</f>
        <v>4651975326</v>
      </c>
      <c r="J130" s="468">
        <f t="shared" ref="J130:X132" si="52">+J131</f>
        <v>1296001584</v>
      </c>
      <c r="K130" s="468">
        <f t="shared" si="52"/>
        <v>490280000</v>
      </c>
      <c r="L130" s="468">
        <f t="shared" si="52"/>
        <v>490280000</v>
      </c>
      <c r="M130" s="468">
        <f t="shared" si="52"/>
        <v>0</v>
      </c>
      <c r="N130" s="468">
        <f t="shared" si="52"/>
        <v>0</v>
      </c>
      <c r="O130" s="468">
        <f t="shared" si="52"/>
        <v>0</v>
      </c>
      <c r="P130" s="468">
        <f t="shared" si="52"/>
        <v>0</v>
      </c>
      <c r="Q130" s="468">
        <f t="shared" si="52"/>
        <v>0</v>
      </c>
      <c r="R130" s="468">
        <f t="shared" si="52"/>
        <v>0</v>
      </c>
      <c r="S130" s="468">
        <f t="shared" si="52"/>
        <v>0</v>
      </c>
      <c r="T130" s="468">
        <f t="shared" si="52"/>
        <v>0</v>
      </c>
      <c r="U130" s="468">
        <f t="shared" si="52"/>
        <v>0</v>
      </c>
      <c r="V130" s="468">
        <f t="shared" si="52"/>
        <v>0</v>
      </c>
      <c r="W130" s="468">
        <f t="shared" si="52"/>
        <v>0</v>
      </c>
      <c r="X130" s="468">
        <f t="shared" si="52"/>
        <v>0</v>
      </c>
      <c r="Y130" s="791">
        <f t="shared" si="48"/>
        <v>4651975326</v>
      </c>
      <c r="Z130" s="791">
        <f t="shared" si="48"/>
        <v>1296001584</v>
      </c>
      <c r="AA130" s="791">
        <f t="shared" si="48"/>
        <v>490280000</v>
      </c>
      <c r="AB130" s="791">
        <f t="shared" si="48"/>
        <v>490280000</v>
      </c>
      <c r="AC130" s="453"/>
    </row>
    <row r="131" spans="1:29" ht="16.5" thickTop="1" thickBot="1" x14ac:dyDescent="0.3">
      <c r="A131" s="460">
        <v>2</v>
      </c>
      <c r="B131" s="460" t="s">
        <v>1354</v>
      </c>
      <c r="C131" s="460" t="s">
        <v>1355</v>
      </c>
      <c r="D131" s="460" t="s">
        <v>1345</v>
      </c>
      <c r="E131" s="460" t="s">
        <v>1345</v>
      </c>
      <c r="F131" s="460"/>
      <c r="G131" s="460"/>
      <c r="H131" s="465" t="s">
        <v>1447</v>
      </c>
      <c r="I131" s="461">
        <f>+I132</f>
        <v>4651975326</v>
      </c>
      <c r="J131" s="461">
        <f t="shared" si="52"/>
        <v>1296001584</v>
      </c>
      <c r="K131" s="461">
        <f t="shared" si="52"/>
        <v>490280000</v>
      </c>
      <c r="L131" s="461">
        <f t="shared" si="52"/>
        <v>490280000</v>
      </c>
      <c r="M131" s="461">
        <f t="shared" si="52"/>
        <v>0</v>
      </c>
      <c r="N131" s="461">
        <f t="shared" si="52"/>
        <v>0</v>
      </c>
      <c r="O131" s="461">
        <f t="shared" si="52"/>
        <v>0</v>
      </c>
      <c r="P131" s="461">
        <f t="shared" si="52"/>
        <v>0</v>
      </c>
      <c r="Q131" s="461">
        <f t="shared" si="52"/>
        <v>0</v>
      </c>
      <c r="R131" s="461">
        <f t="shared" si="52"/>
        <v>0</v>
      </c>
      <c r="S131" s="461">
        <f t="shared" si="52"/>
        <v>0</v>
      </c>
      <c r="T131" s="461">
        <f t="shared" si="52"/>
        <v>0</v>
      </c>
      <c r="U131" s="461">
        <f t="shared" si="52"/>
        <v>0</v>
      </c>
      <c r="V131" s="461">
        <f t="shared" si="52"/>
        <v>0</v>
      </c>
      <c r="W131" s="461">
        <f t="shared" si="52"/>
        <v>0</v>
      </c>
      <c r="X131" s="461">
        <f t="shared" si="52"/>
        <v>0</v>
      </c>
      <c r="Y131" s="791">
        <f t="shared" si="48"/>
        <v>4651975326</v>
      </c>
      <c r="Z131" s="791">
        <f t="shared" si="48"/>
        <v>1296001584</v>
      </c>
      <c r="AA131" s="791">
        <f t="shared" si="48"/>
        <v>490280000</v>
      </c>
      <c r="AB131" s="791">
        <f t="shared" si="48"/>
        <v>490280000</v>
      </c>
      <c r="AC131" s="453"/>
    </row>
    <row r="132" spans="1:29" ht="16.5" thickTop="1" thickBot="1" x14ac:dyDescent="0.3">
      <c r="A132" s="456">
        <v>2</v>
      </c>
      <c r="B132" s="456" t="s">
        <v>1354</v>
      </c>
      <c r="C132" s="456" t="s">
        <v>1355</v>
      </c>
      <c r="D132" s="456" t="s">
        <v>1345</v>
      </c>
      <c r="E132" s="457" t="s">
        <v>1345</v>
      </c>
      <c r="F132" s="457" t="s">
        <v>1345</v>
      </c>
      <c r="G132" s="456"/>
      <c r="H132" s="466" t="s">
        <v>1448</v>
      </c>
      <c r="I132" s="505">
        <f>SUM(I133:I134)</f>
        <v>4651975326</v>
      </c>
      <c r="J132" s="505">
        <f>SUM(J133:J134)</f>
        <v>1296001584</v>
      </c>
      <c r="K132" s="505">
        <f>SUM(K133:K134)</f>
        <v>490280000</v>
      </c>
      <c r="L132" s="505">
        <f>SUM(L133:L134)</f>
        <v>490280000</v>
      </c>
      <c r="M132" s="505">
        <f t="shared" si="52"/>
        <v>0</v>
      </c>
      <c r="N132" s="505">
        <f t="shared" si="52"/>
        <v>0</v>
      </c>
      <c r="O132" s="505">
        <f t="shared" si="52"/>
        <v>0</v>
      </c>
      <c r="P132" s="505">
        <f t="shared" si="52"/>
        <v>0</v>
      </c>
      <c r="Q132" s="505">
        <f t="shared" si="52"/>
        <v>0</v>
      </c>
      <c r="R132" s="505">
        <f t="shared" si="52"/>
        <v>0</v>
      </c>
      <c r="S132" s="505">
        <f t="shared" si="52"/>
        <v>0</v>
      </c>
      <c r="T132" s="505">
        <f t="shared" si="52"/>
        <v>0</v>
      </c>
      <c r="U132" s="505">
        <f t="shared" si="52"/>
        <v>0</v>
      </c>
      <c r="V132" s="505">
        <f t="shared" si="52"/>
        <v>0</v>
      </c>
      <c r="W132" s="505">
        <f t="shared" si="52"/>
        <v>0</v>
      </c>
      <c r="X132" s="505">
        <f t="shared" si="52"/>
        <v>0</v>
      </c>
      <c r="Y132" s="787">
        <f t="shared" si="48"/>
        <v>4651975326</v>
      </c>
      <c r="Z132" s="787">
        <f t="shared" si="48"/>
        <v>1296001584</v>
      </c>
      <c r="AA132" s="787">
        <f t="shared" si="48"/>
        <v>490280000</v>
      </c>
      <c r="AB132" s="787">
        <f t="shared" si="48"/>
        <v>490280000</v>
      </c>
      <c r="AC132" s="453"/>
    </row>
    <row r="133" spans="1:29" ht="16.5" thickTop="1" thickBot="1" x14ac:dyDescent="0.3">
      <c r="A133" s="456">
        <v>2</v>
      </c>
      <c r="B133" s="456" t="s">
        <v>1354</v>
      </c>
      <c r="C133" s="456" t="s">
        <v>1355</v>
      </c>
      <c r="D133" s="456" t="s">
        <v>1345</v>
      </c>
      <c r="E133" s="457" t="s">
        <v>1345</v>
      </c>
      <c r="F133" s="457" t="s">
        <v>1345</v>
      </c>
      <c r="G133" s="457" t="s">
        <v>1345</v>
      </c>
      <c r="H133" s="466" t="s">
        <v>2538</v>
      </c>
      <c r="I133" s="459">
        <v>441429350</v>
      </c>
      <c r="J133" s="458">
        <v>0</v>
      </c>
      <c r="K133" s="458">
        <v>0</v>
      </c>
      <c r="L133" s="458">
        <v>0</v>
      </c>
      <c r="M133" s="458"/>
      <c r="N133" s="458"/>
      <c r="O133" s="458"/>
      <c r="P133" s="458"/>
      <c r="Q133" s="458"/>
      <c r="R133" s="458"/>
      <c r="S133" s="458"/>
      <c r="T133" s="458"/>
      <c r="U133" s="458"/>
      <c r="V133" s="458"/>
      <c r="W133" s="458"/>
      <c r="X133" s="458"/>
      <c r="Y133" s="787">
        <f t="shared" si="48"/>
        <v>441429350</v>
      </c>
      <c r="Z133" s="787">
        <f t="shared" si="48"/>
        <v>0</v>
      </c>
      <c r="AA133" s="787">
        <f t="shared" si="48"/>
        <v>0</v>
      </c>
      <c r="AB133" s="787">
        <f t="shared" si="48"/>
        <v>0</v>
      </c>
      <c r="AC133" s="453"/>
    </row>
    <row r="134" spans="1:29" ht="16.5" thickTop="1" thickBot="1" x14ac:dyDescent="0.3">
      <c r="A134" s="456"/>
      <c r="B134" s="456"/>
      <c r="C134" s="456"/>
      <c r="D134" s="456"/>
      <c r="E134" s="457"/>
      <c r="F134" s="457"/>
      <c r="G134" s="457"/>
      <c r="H134" s="466" t="s">
        <v>2539</v>
      </c>
      <c r="I134" s="459">
        <v>4210545976</v>
      </c>
      <c r="J134" s="458">
        <v>1296001584</v>
      </c>
      <c r="K134" s="458">
        <v>490280000</v>
      </c>
      <c r="L134" s="458">
        <v>490280000</v>
      </c>
      <c r="M134" s="459">
        <v>0</v>
      </c>
      <c r="N134" s="458"/>
      <c r="O134" s="458"/>
      <c r="P134" s="458"/>
      <c r="Q134" s="458"/>
      <c r="R134" s="458"/>
      <c r="S134" s="458"/>
      <c r="T134" s="458"/>
      <c r="U134" s="458"/>
      <c r="V134" s="458"/>
      <c r="W134" s="458"/>
      <c r="X134" s="458"/>
      <c r="Y134" s="787">
        <f t="shared" si="48"/>
        <v>4210545976</v>
      </c>
      <c r="Z134" s="787">
        <f t="shared" si="48"/>
        <v>1296001584</v>
      </c>
      <c r="AA134" s="787">
        <f t="shared" si="48"/>
        <v>490280000</v>
      </c>
      <c r="AB134" s="787">
        <f t="shared" si="48"/>
        <v>490280000</v>
      </c>
      <c r="AC134" s="453"/>
    </row>
    <row r="135" spans="1:29" ht="16.5" thickTop="1" thickBot="1" x14ac:dyDescent="0.3">
      <c r="A135" s="460">
        <v>2</v>
      </c>
      <c r="B135" s="460" t="s">
        <v>1354</v>
      </c>
      <c r="C135" s="460" t="s">
        <v>1355</v>
      </c>
      <c r="D135" s="460" t="s">
        <v>1350</v>
      </c>
      <c r="E135" s="467"/>
      <c r="F135" s="467"/>
      <c r="G135" s="465"/>
      <c r="H135" s="465" t="s">
        <v>1750</v>
      </c>
      <c r="I135" s="468">
        <f>+I136</f>
        <v>5789811289</v>
      </c>
      <c r="J135" s="468">
        <f t="shared" ref="J135:X137" si="53">+J136</f>
        <v>1415323003</v>
      </c>
      <c r="K135" s="468">
        <f t="shared" si="53"/>
        <v>1240323003</v>
      </c>
      <c r="L135" s="468">
        <f t="shared" si="53"/>
        <v>1240323003</v>
      </c>
      <c r="M135" s="468">
        <f t="shared" si="53"/>
        <v>0</v>
      </c>
      <c r="N135" s="468">
        <f t="shared" si="53"/>
        <v>0</v>
      </c>
      <c r="O135" s="468">
        <f t="shared" si="53"/>
        <v>0</v>
      </c>
      <c r="P135" s="468">
        <f t="shared" si="53"/>
        <v>0</v>
      </c>
      <c r="Q135" s="468">
        <f t="shared" si="53"/>
        <v>0</v>
      </c>
      <c r="R135" s="468">
        <f t="shared" si="53"/>
        <v>0</v>
      </c>
      <c r="S135" s="468">
        <f t="shared" si="53"/>
        <v>0</v>
      </c>
      <c r="T135" s="468">
        <f t="shared" si="53"/>
        <v>0</v>
      </c>
      <c r="U135" s="468">
        <f t="shared" si="53"/>
        <v>0</v>
      </c>
      <c r="V135" s="468">
        <f t="shared" si="53"/>
        <v>0</v>
      </c>
      <c r="W135" s="468">
        <f t="shared" si="53"/>
        <v>0</v>
      </c>
      <c r="X135" s="468">
        <f t="shared" si="53"/>
        <v>0</v>
      </c>
      <c r="Y135" s="791">
        <f t="shared" ref="Y135:AB150" si="54">+I135+M135+Q135+U135</f>
        <v>5789811289</v>
      </c>
      <c r="Z135" s="791">
        <f t="shared" si="54"/>
        <v>1415323003</v>
      </c>
      <c r="AA135" s="791">
        <f t="shared" si="54"/>
        <v>1240323003</v>
      </c>
      <c r="AB135" s="791">
        <f t="shared" si="54"/>
        <v>1240323003</v>
      </c>
      <c r="AC135" s="453"/>
    </row>
    <row r="136" spans="1:29" ht="16.5" thickTop="1" thickBot="1" x14ac:dyDescent="0.3">
      <c r="A136" s="460">
        <v>2</v>
      </c>
      <c r="B136" s="460" t="s">
        <v>1354</v>
      </c>
      <c r="C136" s="460" t="s">
        <v>1355</v>
      </c>
      <c r="D136" s="460" t="s">
        <v>1350</v>
      </c>
      <c r="E136" s="460" t="s">
        <v>1345</v>
      </c>
      <c r="F136" s="460"/>
      <c r="G136" s="460"/>
      <c r="H136" s="465" t="s">
        <v>1447</v>
      </c>
      <c r="I136" s="461">
        <f>+I137</f>
        <v>5789811289</v>
      </c>
      <c r="J136" s="461">
        <f t="shared" si="53"/>
        <v>1415323003</v>
      </c>
      <c r="K136" s="461">
        <f t="shared" si="53"/>
        <v>1240323003</v>
      </c>
      <c r="L136" s="461">
        <f t="shared" si="53"/>
        <v>1240323003</v>
      </c>
      <c r="M136" s="461">
        <f t="shared" si="53"/>
        <v>0</v>
      </c>
      <c r="N136" s="461">
        <f t="shared" si="53"/>
        <v>0</v>
      </c>
      <c r="O136" s="461">
        <f t="shared" si="53"/>
        <v>0</v>
      </c>
      <c r="P136" s="461">
        <f t="shared" si="53"/>
        <v>0</v>
      </c>
      <c r="Q136" s="461">
        <f t="shared" si="53"/>
        <v>0</v>
      </c>
      <c r="R136" s="461">
        <f t="shared" si="53"/>
        <v>0</v>
      </c>
      <c r="S136" s="461">
        <f t="shared" si="53"/>
        <v>0</v>
      </c>
      <c r="T136" s="461">
        <f t="shared" si="53"/>
        <v>0</v>
      </c>
      <c r="U136" s="461">
        <f t="shared" si="53"/>
        <v>0</v>
      </c>
      <c r="V136" s="461">
        <f t="shared" si="53"/>
        <v>0</v>
      </c>
      <c r="W136" s="461">
        <f t="shared" si="53"/>
        <v>0</v>
      </c>
      <c r="X136" s="461">
        <f t="shared" si="53"/>
        <v>0</v>
      </c>
      <c r="Y136" s="791">
        <f t="shared" si="54"/>
        <v>5789811289</v>
      </c>
      <c r="Z136" s="791">
        <f t="shared" si="54"/>
        <v>1415323003</v>
      </c>
      <c r="AA136" s="791">
        <f t="shared" si="54"/>
        <v>1240323003</v>
      </c>
      <c r="AB136" s="791">
        <f t="shared" si="54"/>
        <v>1240323003</v>
      </c>
      <c r="AC136" s="453"/>
    </row>
    <row r="137" spans="1:29" ht="16.5" thickTop="1" thickBot="1" x14ac:dyDescent="0.3">
      <c r="A137" s="456">
        <v>2</v>
      </c>
      <c r="B137" s="456" t="s">
        <v>1354</v>
      </c>
      <c r="C137" s="456" t="s">
        <v>1355</v>
      </c>
      <c r="D137" s="457" t="s">
        <v>1350</v>
      </c>
      <c r="E137" s="457" t="s">
        <v>1345</v>
      </c>
      <c r="F137" s="457" t="s">
        <v>1345</v>
      </c>
      <c r="G137" s="456"/>
      <c r="H137" s="466" t="s">
        <v>1448</v>
      </c>
      <c r="I137" s="505">
        <f>SUM(I138:I142)</f>
        <v>5789811289</v>
      </c>
      <c r="J137" s="505">
        <f>SUM(J138:J142)</f>
        <v>1415323003</v>
      </c>
      <c r="K137" s="505">
        <f>SUM(K138:K142)</f>
        <v>1240323003</v>
      </c>
      <c r="L137" s="505">
        <f>SUM(L138:L142)</f>
        <v>1240323003</v>
      </c>
      <c r="M137" s="505">
        <f t="shared" si="53"/>
        <v>0</v>
      </c>
      <c r="N137" s="505">
        <f t="shared" si="53"/>
        <v>0</v>
      </c>
      <c r="O137" s="505">
        <f t="shared" si="53"/>
        <v>0</v>
      </c>
      <c r="P137" s="505">
        <f t="shared" si="53"/>
        <v>0</v>
      </c>
      <c r="Q137" s="505">
        <f t="shared" si="53"/>
        <v>0</v>
      </c>
      <c r="R137" s="505">
        <f t="shared" si="53"/>
        <v>0</v>
      </c>
      <c r="S137" s="505">
        <f t="shared" si="53"/>
        <v>0</v>
      </c>
      <c r="T137" s="505">
        <f t="shared" si="53"/>
        <v>0</v>
      </c>
      <c r="U137" s="505">
        <f t="shared" si="53"/>
        <v>0</v>
      </c>
      <c r="V137" s="505">
        <f t="shared" si="53"/>
        <v>0</v>
      </c>
      <c r="W137" s="505">
        <f t="shared" si="53"/>
        <v>0</v>
      </c>
      <c r="X137" s="505">
        <f t="shared" si="53"/>
        <v>0</v>
      </c>
      <c r="Y137" s="787">
        <f t="shared" si="54"/>
        <v>5789811289</v>
      </c>
      <c r="Z137" s="787">
        <f t="shared" si="54"/>
        <v>1415323003</v>
      </c>
      <c r="AA137" s="787">
        <f t="shared" si="54"/>
        <v>1240323003</v>
      </c>
      <c r="AB137" s="787">
        <f t="shared" si="54"/>
        <v>1240323003</v>
      </c>
      <c r="AC137" s="453"/>
    </row>
    <row r="138" spans="1:29" ht="16.5" thickTop="1" thickBot="1" x14ac:dyDescent="0.3">
      <c r="A138" s="456">
        <v>2</v>
      </c>
      <c r="B138" s="456" t="s">
        <v>1354</v>
      </c>
      <c r="C138" s="456" t="s">
        <v>1355</v>
      </c>
      <c r="D138" s="457" t="s">
        <v>1350</v>
      </c>
      <c r="E138" s="457" t="s">
        <v>1345</v>
      </c>
      <c r="F138" s="457" t="s">
        <v>1345</v>
      </c>
      <c r="G138" s="457" t="s">
        <v>1345</v>
      </c>
      <c r="H138" s="466" t="s">
        <v>2540</v>
      </c>
      <c r="I138" s="459">
        <v>3607389180</v>
      </c>
      <c r="J138" s="458">
        <v>523700000</v>
      </c>
      <c r="K138" s="458">
        <v>408700000</v>
      </c>
      <c r="L138" s="458">
        <v>408700000</v>
      </c>
      <c r="M138" s="458"/>
      <c r="N138" s="458"/>
      <c r="O138" s="458"/>
      <c r="P138" s="458"/>
      <c r="Q138" s="458"/>
      <c r="R138" s="458"/>
      <c r="S138" s="458"/>
      <c r="T138" s="458"/>
      <c r="U138" s="458"/>
      <c r="V138" s="458"/>
      <c r="W138" s="458"/>
      <c r="X138" s="458"/>
      <c r="Y138" s="787">
        <f t="shared" si="54"/>
        <v>3607389180</v>
      </c>
      <c r="Z138" s="787">
        <f t="shared" si="54"/>
        <v>523700000</v>
      </c>
      <c r="AA138" s="787">
        <f t="shared" si="54"/>
        <v>408700000</v>
      </c>
      <c r="AB138" s="787">
        <f t="shared" si="54"/>
        <v>408700000</v>
      </c>
      <c r="AC138" s="453"/>
    </row>
    <row r="139" spans="1:29" ht="16.5" thickTop="1" thickBot="1" x14ac:dyDescent="0.3">
      <c r="A139" s="456"/>
      <c r="B139" s="456"/>
      <c r="C139" s="456"/>
      <c r="D139" s="457"/>
      <c r="E139" s="457"/>
      <c r="F139" s="457"/>
      <c r="G139" s="457"/>
      <c r="H139" s="466" t="s">
        <v>2541</v>
      </c>
      <c r="I139" s="459">
        <v>280000000</v>
      </c>
      <c r="J139" s="458">
        <v>280000000</v>
      </c>
      <c r="K139" s="458">
        <v>280000000</v>
      </c>
      <c r="L139" s="458">
        <v>280000000</v>
      </c>
      <c r="M139" s="458"/>
      <c r="N139" s="458"/>
      <c r="O139" s="458"/>
      <c r="P139" s="458"/>
      <c r="Q139" s="458"/>
      <c r="R139" s="458"/>
      <c r="S139" s="458"/>
      <c r="T139" s="458"/>
      <c r="U139" s="458"/>
      <c r="V139" s="458"/>
      <c r="W139" s="458"/>
      <c r="X139" s="458"/>
      <c r="Y139" s="787">
        <f t="shared" si="54"/>
        <v>280000000</v>
      </c>
      <c r="Z139" s="787">
        <f t="shared" si="54"/>
        <v>280000000</v>
      </c>
      <c r="AA139" s="787">
        <f t="shared" si="54"/>
        <v>280000000</v>
      </c>
      <c r="AB139" s="787">
        <f t="shared" si="54"/>
        <v>280000000</v>
      </c>
      <c r="AC139" s="453"/>
    </row>
    <row r="140" spans="1:29" ht="16.5" thickTop="1" thickBot="1" x14ac:dyDescent="0.3">
      <c r="A140" s="456"/>
      <c r="B140" s="456"/>
      <c r="C140" s="456"/>
      <c r="D140" s="457"/>
      <c r="E140" s="457"/>
      <c r="F140" s="457"/>
      <c r="G140" s="457"/>
      <c r="H140" s="466" t="s">
        <v>2542</v>
      </c>
      <c r="I140" s="459">
        <v>50000000</v>
      </c>
      <c r="J140" s="458">
        <v>11623003</v>
      </c>
      <c r="K140" s="458">
        <v>11623003</v>
      </c>
      <c r="L140" s="458">
        <v>11623003</v>
      </c>
      <c r="M140" s="458"/>
      <c r="N140" s="458"/>
      <c r="O140" s="458"/>
      <c r="P140" s="458"/>
      <c r="Q140" s="458"/>
      <c r="R140" s="458"/>
      <c r="S140" s="458"/>
      <c r="T140" s="458"/>
      <c r="U140" s="458"/>
      <c r="V140" s="458"/>
      <c r="W140" s="458"/>
      <c r="X140" s="458"/>
      <c r="Y140" s="787">
        <f t="shared" si="54"/>
        <v>50000000</v>
      </c>
      <c r="Z140" s="787">
        <f t="shared" si="54"/>
        <v>11623003</v>
      </c>
      <c r="AA140" s="787">
        <f t="shared" si="54"/>
        <v>11623003</v>
      </c>
      <c r="AB140" s="787">
        <f t="shared" si="54"/>
        <v>11623003</v>
      </c>
      <c r="AC140" s="453"/>
    </row>
    <row r="141" spans="1:29" ht="16.5" thickTop="1" thickBot="1" x14ac:dyDescent="0.3">
      <c r="A141" s="456"/>
      <c r="B141" s="456"/>
      <c r="C141" s="456"/>
      <c r="D141" s="457"/>
      <c r="E141" s="457"/>
      <c r="F141" s="457"/>
      <c r="G141" s="457"/>
      <c r="H141" s="466" t="s">
        <v>2543</v>
      </c>
      <c r="I141" s="459">
        <v>600000000</v>
      </c>
      <c r="J141" s="458">
        <v>600000000</v>
      </c>
      <c r="K141" s="458">
        <v>540000000</v>
      </c>
      <c r="L141" s="458">
        <v>540000000</v>
      </c>
      <c r="M141" s="458"/>
      <c r="N141" s="458"/>
      <c r="O141" s="458"/>
      <c r="P141" s="458"/>
      <c r="Q141" s="458"/>
      <c r="R141" s="458"/>
      <c r="S141" s="458"/>
      <c r="T141" s="458"/>
      <c r="U141" s="458"/>
      <c r="V141" s="458"/>
      <c r="W141" s="458"/>
      <c r="X141" s="458"/>
      <c r="Y141" s="787">
        <f t="shared" si="54"/>
        <v>600000000</v>
      </c>
      <c r="Z141" s="787">
        <f t="shared" si="54"/>
        <v>600000000</v>
      </c>
      <c r="AA141" s="787">
        <f t="shared" si="54"/>
        <v>540000000</v>
      </c>
      <c r="AB141" s="787">
        <f t="shared" si="54"/>
        <v>540000000</v>
      </c>
      <c r="AC141" s="453"/>
    </row>
    <row r="142" spans="1:29" ht="16.5" thickTop="1" thickBot="1" x14ac:dyDescent="0.3">
      <c r="A142" s="456"/>
      <c r="B142" s="456"/>
      <c r="C142" s="456"/>
      <c r="D142" s="457"/>
      <c r="E142" s="457"/>
      <c r="F142" s="457"/>
      <c r="G142" s="457"/>
      <c r="H142" s="466" t="s">
        <v>2544</v>
      </c>
      <c r="I142" s="459">
        <v>1252422109</v>
      </c>
      <c r="J142" s="458">
        <v>0</v>
      </c>
      <c r="K142" s="458">
        <v>0</v>
      </c>
      <c r="L142" s="458">
        <v>0</v>
      </c>
      <c r="M142" s="458"/>
      <c r="N142" s="458"/>
      <c r="O142" s="458"/>
      <c r="P142" s="458"/>
      <c r="Q142" s="458"/>
      <c r="R142" s="458"/>
      <c r="S142" s="458"/>
      <c r="T142" s="458"/>
      <c r="U142" s="458"/>
      <c r="V142" s="458"/>
      <c r="W142" s="458"/>
      <c r="X142" s="458"/>
      <c r="Y142" s="787">
        <f t="shared" si="54"/>
        <v>1252422109</v>
      </c>
      <c r="Z142" s="787">
        <f t="shared" si="54"/>
        <v>0</v>
      </c>
      <c r="AA142" s="787">
        <f t="shared" si="54"/>
        <v>0</v>
      </c>
      <c r="AB142" s="787">
        <f t="shared" si="54"/>
        <v>0</v>
      </c>
      <c r="AC142" s="453"/>
    </row>
    <row r="143" spans="1:29" ht="16.5" thickTop="1" thickBot="1" x14ac:dyDescent="0.3">
      <c r="A143" s="454">
        <v>2</v>
      </c>
      <c r="B143" s="454" t="s">
        <v>1354</v>
      </c>
      <c r="C143" s="454" t="s">
        <v>1358</v>
      </c>
      <c r="D143" s="454"/>
      <c r="E143" s="462"/>
      <c r="F143" s="462"/>
      <c r="G143" s="462"/>
      <c r="H143" s="463" t="s">
        <v>1575</v>
      </c>
      <c r="I143" s="464">
        <f>+I144</f>
        <v>100000000</v>
      </c>
      <c r="J143" s="464">
        <f t="shared" ref="J143:X146" si="55">+J144</f>
        <v>22403408</v>
      </c>
      <c r="K143" s="464">
        <f t="shared" si="55"/>
        <v>11490874</v>
      </c>
      <c r="L143" s="464">
        <f t="shared" si="55"/>
        <v>11490874</v>
      </c>
      <c r="M143" s="464">
        <f t="shared" si="55"/>
        <v>0</v>
      </c>
      <c r="N143" s="464">
        <f t="shared" si="55"/>
        <v>0</v>
      </c>
      <c r="O143" s="464">
        <f t="shared" si="55"/>
        <v>0</v>
      </c>
      <c r="P143" s="464">
        <f t="shared" si="55"/>
        <v>0</v>
      </c>
      <c r="Q143" s="464">
        <f t="shared" si="55"/>
        <v>0</v>
      </c>
      <c r="R143" s="464">
        <f t="shared" si="55"/>
        <v>0</v>
      </c>
      <c r="S143" s="464">
        <f t="shared" si="55"/>
        <v>0</v>
      </c>
      <c r="T143" s="464">
        <f t="shared" si="55"/>
        <v>0</v>
      </c>
      <c r="U143" s="464">
        <f t="shared" si="55"/>
        <v>0</v>
      </c>
      <c r="V143" s="464">
        <f t="shared" si="55"/>
        <v>0</v>
      </c>
      <c r="W143" s="464">
        <f t="shared" si="55"/>
        <v>0</v>
      </c>
      <c r="X143" s="464">
        <f t="shared" si="55"/>
        <v>0</v>
      </c>
      <c r="Y143" s="785">
        <f t="shared" si="54"/>
        <v>100000000</v>
      </c>
      <c r="Z143" s="785">
        <f t="shared" si="54"/>
        <v>22403408</v>
      </c>
      <c r="AA143" s="785">
        <f t="shared" si="54"/>
        <v>11490874</v>
      </c>
      <c r="AB143" s="785">
        <f t="shared" si="54"/>
        <v>11490874</v>
      </c>
      <c r="AC143" s="453"/>
    </row>
    <row r="144" spans="1:29" ht="16.5" thickTop="1" thickBot="1" x14ac:dyDescent="0.3">
      <c r="A144" s="460">
        <v>2</v>
      </c>
      <c r="B144" s="460" t="s">
        <v>1354</v>
      </c>
      <c r="C144" s="460" t="s">
        <v>1358</v>
      </c>
      <c r="D144" s="460" t="s">
        <v>1345</v>
      </c>
      <c r="E144" s="467"/>
      <c r="F144" s="467"/>
      <c r="G144" s="465"/>
      <c r="H144" s="465" t="s">
        <v>1751</v>
      </c>
      <c r="I144" s="468">
        <f>+I145</f>
        <v>100000000</v>
      </c>
      <c r="J144" s="468">
        <f t="shared" si="55"/>
        <v>22403408</v>
      </c>
      <c r="K144" s="468">
        <f t="shared" si="55"/>
        <v>11490874</v>
      </c>
      <c r="L144" s="468">
        <f t="shared" si="55"/>
        <v>11490874</v>
      </c>
      <c r="M144" s="468">
        <f t="shared" si="55"/>
        <v>0</v>
      </c>
      <c r="N144" s="468">
        <f t="shared" si="55"/>
        <v>0</v>
      </c>
      <c r="O144" s="468">
        <f t="shared" si="55"/>
        <v>0</v>
      </c>
      <c r="P144" s="468">
        <f t="shared" si="55"/>
        <v>0</v>
      </c>
      <c r="Q144" s="468">
        <f t="shared" si="55"/>
        <v>0</v>
      </c>
      <c r="R144" s="468">
        <f t="shared" si="55"/>
        <v>0</v>
      </c>
      <c r="S144" s="468">
        <f t="shared" si="55"/>
        <v>0</v>
      </c>
      <c r="T144" s="468">
        <f t="shared" si="55"/>
        <v>0</v>
      </c>
      <c r="U144" s="468">
        <f t="shared" si="55"/>
        <v>0</v>
      </c>
      <c r="V144" s="468">
        <f t="shared" si="55"/>
        <v>0</v>
      </c>
      <c r="W144" s="468">
        <f t="shared" si="55"/>
        <v>0</v>
      </c>
      <c r="X144" s="468">
        <f t="shared" si="55"/>
        <v>0</v>
      </c>
      <c r="Y144" s="791">
        <f t="shared" si="54"/>
        <v>100000000</v>
      </c>
      <c r="Z144" s="791">
        <f t="shared" si="54"/>
        <v>22403408</v>
      </c>
      <c r="AA144" s="791">
        <f t="shared" si="54"/>
        <v>11490874</v>
      </c>
      <c r="AB144" s="791">
        <f t="shared" si="54"/>
        <v>11490874</v>
      </c>
      <c r="AC144" s="453"/>
    </row>
    <row r="145" spans="1:29" ht="16.5" thickTop="1" thickBot="1" x14ac:dyDescent="0.3">
      <c r="A145" s="460">
        <v>2</v>
      </c>
      <c r="B145" s="460" t="s">
        <v>1354</v>
      </c>
      <c r="C145" s="460" t="s">
        <v>1358</v>
      </c>
      <c r="D145" s="460" t="s">
        <v>1345</v>
      </c>
      <c r="E145" s="460" t="s">
        <v>1345</v>
      </c>
      <c r="F145" s="460"/>
      <c r="G145" s="460"/>
      <c r="H145" s="465" t="s">
        <v>1447</v>
      </c>
      <c r="I145" s="461">
        <f>+I146</f>
        <v>100000000</v>
      </c>
      <c r="J145" s="461">
        <f t="shared" si="55"/>
        <v>22403408</v>
      </c>
      <c r="K145" s="461">
        <f t="shared" si="55"/>
        <v>11490874</v>
      </c>
      <c r="L145" s="461">
        <f t="shared" si="55"/>
        <v>11490874</v>
      </c>
      <c r="M145" s="461">
        <f t="shared" si="55"/>
        <v>0</v>
      </c>
      <c r="N145" s="461">
        <f t="shared" si="55"/>
        <v>0</v>
      </c>
      <c r="O145" s="461">
        <f t="shared" si="55"/>
        <v>0</v>
      </c>
      <c r="P145" s="461">
        <f t="shared" si="55"/>
        <v>0</v>
      </c>
      <c r="Q145" s="461">
        <f t="shared" si="55"/>
        <v>0</v>
      </c>
      <c r="R145" s="461">
        <f t="shared" si="55"/>
        <v>0</v>
      </c>
      <c r="S145" s="461">
        <f t="shared" si="55"/>
        <v>0</v>
      </c>
      <c r="T145" s="461">
        <f t="shared" si="55"/>
        <v>0</v>
      </c>
      <c r="U145" s="461">
        <f t="shared" si="55"/>
        <v>0</v>
      </c>
      <c r="V145" s="461">
        <f t="shared" si="55"/>
        <v>0</v>
      </c>
      <c r="W145" s="461">
        <f t="shared" si="55"/>
        <v>0</v>
      </c>
      <c r="X145" s="461">
        <f t="shared" si="55"/>
        <v>0</v>
      </c>
      <c r="Y145" s="791">
        <f t="shared" si="54"/>
        <v>100000000</v>
      </c>
      <c r="Z145" s="791">
        <f t="shared" si="54"/>
        <v>22403408</v>
      </c>
      <c r="AA145" s="791">
        <f t="shared" si="54"/>
        <v>11490874</v>
      </c>
      <c r="AB145" s="791">
        <f t="shared" si="54"/>
        <v>11490874</v>
      </c>
      <c r="AC145" s="453"/>
    </row>
    <row r="146" spans="1:29" ht="16.5" thickTop="1" thickBot="1" x14ac:dyDescent="0.3">
      <c r="A146" s="456">
        <v>2</v>
      </c>
      <c r="B146" s="456" t="s">
        <v>1354</v>
      </c>
      <c r="C146" s="508" t="s">
        <v>1358</v>
      </c>
      <c r="D146" s="456" t="s">
        <v>1345</v>
      </c>
      <c r="E146" s="457" t="s">
        <v>1345</v>
      </c>
      <c r="F146" s="457" t="s">
        <v>1345</v>
      </c>
      <c r="G146" s="456"/>
      <c r="H146" s="466" t="s">
        <v>1448</v>
      </c>
      <c r="I146" s="505">
        <f>+I147</f>
        <v>100000000</v>
      </c>
      <c r="J146" s="505">
        <f>SUM(J147:J147)</f>
        <v>22403408</v>
      </c>
      <c r="K146" s="505">
        <f>SUM(K147:K147)</f>
        <v>11490874</v>
      </c>
      <c r="L146" s="505">
        <f>SUM(L147:L147)</f>
        <v>11490874</v>
      </c>
      <c r="M146" s="505">
        <f>SUM(M147:M147)</f>
        <v>0</v>
      </c>
      <c r="N146" s="505">
        <f t="shared" si="55"/>
        <v>0</v>
      </c>
      <c r="O146" s="505">
        <f t="shared" si="55"/>
        <v>0</v>
      </c>
      <c r="P146" s="505">
        <f t="shared" si="55"/>
        <v>0</v>
      </c>
      <c r="Q146" s="505">
        <f t="shared" si="55"/>
        <v>0</v>
      </c>
      <c r="R146" s="505">
        <f t="shared" si="55"/>
        <v>0</v>
      </c>
      <c r="S146" s="505">
        <f t="shared" si="55"/>
        <v>0</v>
      </c>
      <c r="T146" s="505">
        <f t="shared" si="55"/>
        <v>0</v>
      </c>
      <c r="U146" s="505">
        <f t="shared" si="55"/>
        <v>0</v>
      </c>
      <c r="V146" s="505">
        <f t="shared" si="55"/>
        <v>0</v>
      </c>
      <c r="W146" s="505">
        <f t="shared" si="55"/>
        <v>0</v>
      </c>
      <c r="X146" s="505">
        <f t="shared" si="55"/>
        <v>0</v>
      </c>
      <c r="Y146" s="787">
        <f t="shared" si="54"/>
        <v>100000000</v>
      </c>
      <c r="Z146" s="787">
        <f t="shared" si="54"/>
        <v>22403408</v>
      </c>
      <c r="AA146" s="787">
        <f t="shared" si="54"/>
        <v>11490874</v>
      </c>
      <c r="AB146" s="787">
        <f t="shared" si="54"/>
        <v>11490874</v>
      </c>
      <c r="AC146" s="453"/>
    </row>
    <row r="147" spans="1:29" ht="16.5" thickTop="1" thickBot="1" x14ac:dyDescent="0.3">
      <c r="A147" s="456">
        <v>2</v>
      </c>
      <c r="B147" s="456" t="s">
        <v>1354</v>
      </c>
      <c r="C147" s="508" t="s">
        <v>1358</v>
      </c>
      <c r="D147" s="456" t="s">
        <v>1345</v>
      </c>
      <c r="E147" s="457" t="s">
        <v>1345</v>
      </c>
      <c r="F147" s="457" t="s">
        <v>1345</v>
      </c>
      <c r="G147" s="457" t="s">
        <v>1345</v>
      </c>
      <c r="H147" s="466" t="s">
        <v>2545</v>
      </c>
      <c r="I147" s="459">
        <v>100000000</v>
      </c>
      <c r="J147" s="459">
        <v>22403408</v>
      </c>
      <c r="K147" s="459">
        <v>11490874</v>
      </c>
      <c r="L147" s="459">
        <v>11490874</v>
      </c>
      <c r="M147" s="459">
        <v>0</v>
      </c>
      <c r="N147" s="458"/>
      <c r="O147" s="458"/>
      <c r="P147" s="458"/>
      <c r="Q147" s="458"/>
      <c r="R147" s="458"/>
      <c r="S147" s="458"/>
      <c r="T147" s="458"/>
      <c r="U147" s="458"/>
      <c r="V147" s="458"/>
      <c r="W147" s="458"/>
      <c r="X147" s="458"/>
      <c r="Y147" s="787">
        <f t="shared" si="54"/>
        <v>100000000</v>
      </c>
      <c r="Z147" s="787">
        <f t="shared" si="54"/>
        <v>22403408</v>
      </c>
      <c r="AA147" s="787">
        <f t="shared" si="54"/>
        <v>11490874</v>
      </c>
      <c r="AB147" s="787">
        <f t="shared" si="54"/>
        <v>11490874</v>
      </c>
      <c r="AC147" s="453"/>
    </row>
    <row r="148" spans="1:29" ht="16.5" thickTop="1" thickBot="1" x14ac:dyDescent="0.3">
      <c r="A148" s="454">
        <v>2</v>
      </c>
      <c r="B148" s="454" t="s">
        <v>1354</v>
      </c>
      <c r="C148" s="454" t="s">
        <v>1359</v>
      </c>
      <c r="D148" s="454"/>
      <c r="E148" s="462"/>
      <c r="F148" s="462"/>
      <c r="G148" s="462"/>
      <c r="H148" s="463" t="s">
        <v>1581</v>
      </c>
      <c r="I148" s="464">
        <f t="shared" ref="I148:X148" si="56">+I149+I153+I158+I162</f>
        <v>56658728028</v>
      </c>
      <c r="J148" s="464">
        <f t="shared" si="56"/>
        <v>51265422948</v>
      </c>
      <c r="K148" s="464">
        <f t="shared" si="56"/>
        <v>2194325444</v>
      </c>
      <c r="L148" s="464">
        <f t="shared" si="56"/>
        <v>2194325444</v>
      </c>
      <c r="M148" s="464">
        <f t="shared" si="56"/>
        <v>0</v>
      </c>
      <c r="N148" s="464">
        <f t="shared" si="56"/>
        <v>0</v>
      </c>
      <c r="O148" s="464">
        <f t="shared" si="56"/>
        <v>0</v>
      </c>
      <c r="P148" s="464">
        <f t="shared" si="56"/>
        <v>0</v>
      </c>
      <c r="Q148" s="464">
        <f t="shared" si="56"/>
        <v>0</v>
      </c>
      <c r="R148" s="464">
        <f t="shared" si="56"/>
        <v>0</v>
      </c>
      <c r="S148" s="464">
        <f t="shared" si="56"/>
        <v>0</v>
      </c>
      <c r="T148" s="464">
        <f t="shared" si="56"/>
        <v>0</v>
      </c>
      <c r="U148" s="464">
        <f t="shared" si="56"/>
        <v>0</v>
      </c>
      <c r="V148" s="464">
        <f t="shared" si="56"/>
        <v>0</v>
      </c>
      <c r="W148" s="464">
        <f t="shared" si="56"/>
        <v>0</v>
      </c>
      <c r="X148" s="464">
        <f t="shared" si="56"/>
        <v>0</v>
      </c>
      <c r="Y148" s="785">
        <f t="shared" si="54"/>
        <v>56658728028</v>
      </c>
      <c r="Z148" s="785">
        <f t="shared" si="54"/>
        <v>51265422948</v>
      </c>
      <c r="AA148" s="785">
        <f t="shared" si="54"/>
        <v>2194325444</v>
      </c>
      <c r="AB148" s="785">
        <f t="shared" si="54"/>
        <v>2194325444</v>
      </c>
      <c r="AC148" s="453"/>
    </row>
    <row r="149" spans="1:29" ht="16.5" thickTop="1" thickBot="1" x14ac:dyDescent="0.3">
      <c r="A149" s="460">
        <v>2</v>
      </c>
      <c r="B149" s="460" t="s">
        <v>1354</v>
      </c>
      <c r="C149" s="460" t="s">
        <v>1359</v>
      </c>
      <c r="D149" s="506" t="s">
        <v>1345</v>
      </c>
      <c r="E149" s="467"/>
      <c r="F149" s="467"/>
      <c r="G149" s="465"/>
      <c r="H149" s="465" t="s">
        <v>1898</v>
      </c>
      <c r="I149" s="468">
        <f t="shared" ref="I149:X151" si="57">+I150</f>
        <v>209665500</v>
      </c>
      <c r="J149" s="468">
        <f t="shared" si="57"/>
        <v>209665500</v>
      </c>
      <c r="K149" s="468">
        <f t="shared" si="57"/>
        <v>104832750</v>
      </c>
      <c r="L149" s="468">
        <f t="shared" si="57"/>
        <v>104832750</v>
      </c>
      <c r="M149" s="468">
        <f t="shared" si="57"/>
        <v>0</v>
      </c>
      <c r="N149" s="468">
        <f t="shared" si="57"/>
        <v>0</v>
      </c>
      <c r="O149" s="468">
        <f t="shared" si="57"/>
        <v>0</v>
      </c>
      <c r="P149" s="468">
        <f t="shared" si="57"/>
        <v>0</v>
      </c>
      <c r="Q149" s="468">
        <f t="shared" si="57"/>
        <v>0</v>
      </c>
      <c r="R149" s="468">
        <f t="shared" si="57"/>
        <v>0</v>
      </c>
      <c r="S149" s="468">
        <f t="shared" si="57"/>
        <v>0</v>
      </c>
      <c r="T149" s="468">
        <f t="shared" si="57"/>
        <v>0</v>
      </c>
      <c r="U149" s="468">
        <f t="shared" si="57"/>
        <v>0</v>
      </c>
      <c r="V149" s="468">
        <f t="shared" si="57"/>
        <v>0</v>
      </c>
      <c r="W149" s="468">
        <f t="shared" si="57"/>
        <v>0</v>
      </c>
      <c r="X149" s="468">
        <f t="shared" si="57"/>
        <v>0</v>
      </c>
      <c r="Y149" s="791">
        <f t="shared" si="54"/>
        <v>209665500</v>
      </c>
      <c r="Z149" s="791">
        <f t="shared" si="54"/>
        <v>209665500</v>
      </c>
      <c r="AA149" s="791">
        <f t="shared" si="54"/>
        <v>104832750</v>
      </c>
      <c r="AB149" s="791">
        <f t="shared" si="54"/>
        <v>104832750</v>
      </c>
      <c r="AC149" s="453"/>
    </row>
    <row r="150" spans="1:29" ht="16.5" thickTop="1" thickBot="1" x14ac:dyDescent="0.3">
      <c r="A150" s="460">
        <v>2</v>
      </c>
      <c r="B150" s="460" t="s">
        <v>1354</v>
      </c>
      <c r="C150" s="460" t="s">
        <v>1359</v>
      </c>
      <c r="D150" s="506" t="s">
        <v>1345</v>
      </c>
      <c r="E150" s="460" t="s">
        <v>1345</v>
      </c>
      <c r="F150" s="460"/>
      <c r="G150" s="460"/>
      <c r="H150" s="465" t="s">
        <v>1447</v>
      </c>
      <c r="I150" s="461">
        <f t="shared" si="57"/>
        <v>209665500</v>
      </c>
      <c r="J150" s="461">
        <f t="shared" si="57"/>
        <v>209665500</v>
      </c>
      <c r="K150" s="461">
        <f t="shared" si="57"/>
        <v>104832750</v>
      </c>
      <c r="L150" s="461">
        <f t="shared" si="57"/>
        <v>104832750</v>
      </c>
      <c r="M150" s="461">
        <f t="shared" si="57"/>
        <v>0</v>
      </c>
      <c r="N150" s="461">
        <f t="shared" si="57"/>
        <v>0</v>
      </c>
      <c r="O150" s="461">
        <f t="shared" si="57"/>
        <v>0</v>
      </c>
      <c r="P150" s="461">
        <f t="shared" si="57"/>
        <v>0</v>
      </c>
      <c r="Q150" s="461">
        <f t="shared" si="57"/>
        <v>0</v>
      </c>
      <c r="R150" s="461">
        <f t="shared" si="57"/>
        <v>0</v>
      </c>
      <c r="S150" s="461">
        <f t="shared" si="57"/>
        <v>0</v>
      </c>
      <c r="T150" s="461">
        <f t="shared" si="57"/>
        <v>0</v>
      </c>
      <c r="U150" s="461">
        <f t="shared" si="57"/>
        <v>0</v>
      </c>
      <c r="V150" s="461">
        <f t="shared" si="57"/>
        <v>0</v>
      </c>
      <c r="W150" s="461">
        <f t="shared" si="57"/>
        <v>0</v>
      </c>
      <c r="X150" s="461">
        <f t="shared" si="57"/>
        <v>0</v>
      </c>
      <c r="Y150" s="791">
        <f t="shared" si="54"/>
        <v>209665500</v>
      </c>
      <c r="Z150" s="791">
        <f t="shared" si="54"/>
        <v>209665500</v>
      </c>
      <c r="AA150" s="791">
        <f t="shared" si="54"/>
        <v>104832750</v>
      </c>
      <c r="AB150" s="791">
        <f t="shared" si="54"/>
        <v>104832750</v>
      </c>
      <c r="AC150" s="453"/>
    </row>
    <row r="151" spans="1:29" ht="16.5" thickTop="1" thickBot="1" x14ac:dyDescent="0.3">
      <c r="A151" s="456">
        <v>2</v>
      </c>
      <c r="B151" s="456" t="s">
        <v>1354</v>
      </c>
      <c r="C151" s="456" t="s">
        <v>1359</v>
      </c>
      <c r="D151" s="507" t="s">
        <v>1345</v>
      </c>
      <c r="E151" s="457" t="s">
        <v>1345</v>
      </c>
      <c r="F151" s="457" t="s">
        <v>1345</v>
      </c>
      <c r="G151" s="456"/>
      <c r="H151" s="466" t="s">
        <v>1448</v>
      </c>
      <c r="I151" s="505">
        <f>SUM(I152:I152)</f>
        <v>209665500</v>
      </c>
      <c r="J151" s="505">
        <f>SUM(J152:J152)</f>
        <v>209665500</v>
      </c>
      <c r="K151" s="505">
        <f>SUM(K152:K152)</f>
        <v>104832750</v>
      </c>
      <c r="L151" s="505">
        <f>SUM(L152:L152)</f>
        <v>104832750</v>
      </c>
      <c r="M151" s="505">
        <f>SUM(M152:M152)</f>
        <v>0</v>
      </c>
      <c r="N151" s="505">
        <f t="shared" si="57"/>
        <v>0</v>
      </c>
      <c r="O151" s="505">
        <f t="shared" si="57"/>
        <v>0</v>
      </c>
      <c r="P151" s="505">
        <f t="shared" si="57"/>
        <v>0</v>
      </c>
      <c r="Q151" s="505">
        <f t="shared" si="57"/>
        <v>0</v>
      </c>
      <c r="R151" s="505">
        <f t="shared" si="57"/>
        <v>0</v>
      </c>
      <c r="S151" s="505">
        <f t="shared" si="57"/>
        <v>0</v>
      </c>
      <c r="T151" s="505">
        <f t="shared" si="57"/>
        <v>0</v>
      </c>
      <c r="U151" s="505">
        <f t="shared" si="57"/>
        <v>0</v>
      </c>
      <c r="V151" s="505">
        <f t="shared" si="57"/>
        <v>0</v>
      </c>
      <c r="W151" s="505">
        <f t="shared" si="57"/>
        <v>0</v>
      </c>
      <c r="X151" s="505">
        <f t="shared" si="57"/>
        <v>0</v>
      </c>
      <c r="Y151" s="787">
        <f t="shared" ref="Y151:AB164" si="58">+I151+M151+Q151+U151</f>
        <v>209665500</v>
      </c>
      <c r="Z151" s="787">
        <f t="shared" si="58"/>
        <v>209665500</v>
      </c>
      <c r="AA151" s="787">
        <f t="shared" si="58"/>
        <v>104832750</v>
      </c>
      <c r="AB151" s="787">
        <f t="shared" si="58"/>
        <v>104832750</v>
      </c>
      <c r="AC151" s="453"/>
    </row>
    <row r="152" spans="1:29" ht="16.5" thickTop="1" thickBot="1" x14ac:dyDescent="0.3">
      <c r="A152" s="456">
        <v>2</v>
      </c>
      <c r="B152" s="456" t="s">
        <v>1354</v>
      </c>
      <c r="C152" s="456" t="s">
        <v>1359</v>
      </c>
      <c r="D152" s="507" t="s">
        <v>1345</v>
      </c>
      <c r="E152" s="457" t="s">
        <v>1345</v>
      </c>
      <c r="F152" s="457" t="s">
        <v>1345</v>
      </c>
      <c r="G152" s="457" t="s">
        <v>1345</v>
      </c>
      <c r="H152" s="466" t="s">
        <v>2546</v>
      </c>
      <c r="I152" s="459">
        <v>209665500</v>
      </c>
      <c r="J152" s="459">
        <v>209665500</v>
      </c>
      <c r="K152" s="458">
        <v>104832750</v>
      </c>
      <c r="L152" s="458">
        <v>104832750</v>
      </c>
      <c r="M152" s="458">
        <v>0</v>
      </c>
      <c r="N152" s="458"/>
      <c r="O152" s="458"/>
      <c r="P152" s="458"/>
      <c r="Q152" s="458"/>
      <c r="R152" s="458"/>
      <c r="S152" s="458"/>
      <c r="T152" s="458"/>
      <c r="U152" s="458"/>
      <c r="V152" s="458"/>
      <c r="W152" s="458"/>
      <c r="X152" s="458"/>
      <c r="Y152" s="787">
        <f t="shared" si="58"/>
        <v>209665500</v>
      </c>
      <c r="Z152" s="787">
        <f t="shared" si="58"/>
        <v>209665500</v>
      </c>
      <c r="AA152" s="787">
        <f t="shared" si="58"/>
        <v>104832750</v>
      </c>
      <c r="AB152" s="787">
        <f t="shared" si="58"/>
        <v>104832750</v>
      </c>
      <c r="AC152" s="453"/>
    </row>
    <row r="153" spans="1:29" ht="16.5" thickTop="1" thickBot="1" x14ac:dyDescent="0.3">
      <c r="A153" s="460">
        <v>2</v>
      </c>
      <c r="B153" s="460" t="s">
        <v>1354</v>
      </c>
      <c r="C153" s="460" t="s">
        <v>1359</v>
      </c>
      <c r="D153" s="460" t="s">
        <v>1350</v>
      </c>
      <c r="E153" s="467"/>
      <c r="F153" s="467"/>
      <c r="G153" s="465"/>
      <c r="H153" s="465" t="s">
        <v>1752</v>
      </c>
      <c r="I153" s="468">
        <f t="shared" ref="I153:X155" si="59">+I154</f>
        <v>1000000000</v>
      </c>
      <c r="J153" s="468">
        <f t="shared" si="59"/>
        <v>999987700</v>
      </c>
      <c r="K153" s="468">
        <f t="shared" si="59"/>
        <v>474987002</v>
      </c>
      <c r="L153" s="468">
        <f t="shared" si="59"/>
        <v>474987002</v>
      </c>
      <c r="M153" s="468">
        <f t="shared" si="59"/>
        <v>0</v>
      </c>
      <c r="N153" s="468">
        <f t="shared" si="59"/>
        <v>0</v>
      </c>
      <c r="O153" s="468">
        <f t="shared" si="59"/>
        <v>0</v>
      </c>
      <c r="P153" s="468">
        <f t="shared" si="59"/>
        <v>0</v>
      </c>
      <c r="Q153" s="468">
        <f t="shared" si="59"/>
        <v>0</v>
      </c>
      <c r="R153" s="468">
        <f t="shared" si="59"/>
        <v>0</v>
      </c>
      <c r="S153" s="468">
        <f t="shared" si="59"/>
        <v>0</v>
      </c>
      <c r="T153" s="468">
        <f t="shared" si="59"/>
        <v>0</v>
      </c>
      <c r="U153" s="468">
        <f t="shared" si="59"/>
        <v>0</v>
      </c>
      <c r="V153" s="468">
        <f t="shared" si="59"/>
        <v>0</v>
      </c>
      <c r="W153" s="468">
        <f t="shared" si="59"/>
        <v>0</v>
      </c>
      <c r="X153" s="468">
        <f t="shared" si="59"/>
        <v>0</v>
      </c>
      <c r="Y153" s="791">
        <f t="shared" si="58"/>
        <v>1000000000</v>
      </c>
      <c r="Z153" s="791">
        <f t="shared" si="58"/>
        <v>999987700</v>
      </c>
      <c r="AA153" s="791">
        <f t="shared" si="58"/>
        <v>474987002</v>
      </c>
      <c r="AB153" s="791">
        <f t="shared" si="58"/>
        <v>474987002</v>
      </c>
      <c r="AC153" s="453"/>
    </row>
    <row r="154" spans="1:29" ht="16.5" thickTop="1" thickBot="1" x14ac:dyDescent="0.3">
      <c r="A154" s="460">
        <v>2</v>
      </c>
      <c r="B154" s="460" t="s">
        <v>1354</v>
      </c>
      <c r="C154" s="460" t="s">
        <v>1359</v>
      </c>
      <c r="D154" s="460" t="s">
        <v>1350</v>
      </c>
      <c r="E154" s="460" t="s">
        <v>1345</v>
      </c>
      <c r="F154" s="460"/>
      <c r="G154" s="460"/>
      <c r="H154" s="465" t="s">
        <v>1447</v>
      </c>
      <c r="I154" s="461">
        <f t="shared" si="59"/>
        <v>1000000000</v>
      </c>
      <c r="J154" s="461">
        <f t="shared" si="59"/>
        <v>999987700</v>
      </c>
      <c r="K154" s="461">
        <f t="shared" si="59"/>
        <v>474987002</v>
      </c>
      <c r="L154" s="461">
        <f t="shared" si="59"/>
        <v>474987002</v>
      </c>
      <c r="M154" s="461">
        <f t="shared" si="59"/>
        <v>0</v>
      </c>
      <c r="N154" s="461">
        <f t="shared" si="59"/>
        <v>0</v>
      </c>
      <c r="O154" s="461">
        <f t="shared" si="59"/>
        <v>0</v>
      </c>
      <c r="P154" s="461">
        <f t="shared" si="59"/>
        <v>0</v>
      </c>
      <c r="Q154" s="461">
        <f t="shared" si="59"/>
        <v>0</v>
      </c>
      <c r="R154" s="461">
        <f t="shared" si="59"/>
        <v>0</v>
      </c>
      <c r="S154" s="461">
        <f t="shared" si="59"/>
        <v>0</v>
      </c>
      <c r="T154" s="461">
        <f t="shared" si="59"/>
        <v>0</v>
      </c>
      <c r="U154" s="461">
        <f t="shared" si="59"/>
        <v>0</v>
      </c>
      <c r="V154" s="461">
        <f t="shared" si="59"/>
        <v>0</v>
      </c>
      <c r="W154" s="461">
        <f t="shared" si="59"/>
        <v>0</v>
      </c>
      <c r="X154" s="461">
        <f t="shared" si="59"/>
        <v>0</v>
      </c>
      <c r="Y154" s="791">
        <f t="shared" si="58"/>
        <v>1000000000</v>
      </c>
      <c r="Z154" s="791">
        <f t="shared" si="58"/>
        <v>999987700</v>
      </c>
      <c r="AA154" s="791">
        <f t="shared" si="58"/>
        <v>474987002</v>
      </c>
      <c r="AB154" s="791">
        <f t="shared" si="58"/>
        <v>474987002</v>
      </c>
      <c r="AC154" s="453"/>
    </row>
    <row r="155" spans="1:29" ht="16.5" thickTop="1" thickBot="1" x14ac:dyDescent="0.3">
      <c r="A155" s="456">
        <v>2</v>
      </c>
      <c r="B155" s="456" t="s">
        <v>1354</v>
      </c>
      <c r="C155" s="456" t="s">
        <v>1359</v>
      </c>
      <c r="D155" s="457" t="s">
        <v>1350</v>
      </c>
      <c r="E155" s="457" t="s">
        <v>1345</v>
      </c>
      <c r="F155" s="457" t="s">
        <v>1345</v>
      </c>
      <c r="G155" s="456"/>
      <c r="H155" s="466" t="s">
        <v>1448</v>
      </c>
      <c r="I155" s="505">
        <f>SUM(I156:I157)</f>
        <v>1000000000</v>
      </c>
      <c r="J155" s="505">
        <f>SUM(J156:J157)</f>
        <v>999987700</v>
      </c>
      <c r="K155" s="505">
        <f t="shared" si="59"/>
        <v>474987002</v>
      </c>
      <c r="L155" s="505">
        <f t="shared" si="59"/>
        <v>474987002</v>
      </c>
      <c r="M155" s="505">
        <f t="shared" si="59"/>
        <v>0</v>
      </c>
      <c r="N155" s="505">
        <f t="shared" si="59"/>
        <v>0</v>
      </c>
      <c r="O155" s="505">
        <f t="shared" si="59"/>
        <v>0</v>
      </c>
      <c r="P155" s="505">
        <f t="shared" si="59"/>
        <v>0</v>
      </c>
      <c r="Q155" s="505">
        <f t="shared" si="59"/>
        <v>0</v>
      </c>
      <c r="R155" s="505">
        <f t="shared" si="59"/>
        <v>0</v>
      </c>
      <c r="S155" s="505">
        <f t="shared" si="59"/>
        <v>0</v>
      </c>
      <c r="T155" s="505">
        <f t="shared" si="59"/>
        <v>0</v>
      </c>
      <c r="U155" s="505">
        <f t="shared" si="59"/>
        <v>0</v>
      </c>
      <c r="V155" s="505">
        <f t="shared" si="59"/>
        <v>0</v>
      </c>
      <c r="W155" s="505">
        <f t="shared" si="59"/>
        <v>0</v>
      </c>
      <c r="X155" s="505">
        <f t="shared" si="59"/>
        <v>0</v>
      </c>
      <c r="Y155" s="787">
        <f t="shared" si="58"/>
        <v>1000000000</v>
      </c>
      <c r="Z155" s="787">
        <f t="shared" si="58"/>
        <v>999987700</v>
      </c>
      <c r="AA155" s="787">
        <f t="shared" si="58"/>
        <v>474987002</v>
      </c>
      <c r="AB155" s="787">
        <f t="shared" si="58"/>
        <v>474987002</v>
      </c>
      <c r="AC155" s="453"/>
    </row>
    <row r="156" spans="1:29" ht="16.5" thickTop="1" thickBot="1" x14ac:dyDescent="0.3">
      <c r="A156" s="456">
        <v>2</v>
      </c>
      <c r="B156" s="456" t="s">
        <v>1354</v>
      </c>
      <c r="C156" s="456" t="s">
        <v>1359</v>
      </c>
      <c r="D156" s="457" t="s">
        <v>1350</v>
      </c>
      <c r="E156" s="457" t="s">
        <v>1345</v>
      </c>
      <c r="F156" s="457" t="s">
        <v>1345</v>
      </c>
      <c r="G156" s="457" t="s">
        <v>1345</v>
      </c>
      <c r="H156" s="466" t="s">
        <v>2547</v>
      </c>
      <c r="I156" s="459">
        <v>500000000</v>
      </c>
      <c r="J156" s="458">
        <v>499987700</v>
      </c>
      <c r="K156" s="458">
        <v>474987002</v>
      </c>
      <c r="L156" s="458">
        <v>474987002</v>
      </c>
      <c r="M156" s="458"/>
      <c r="N156" s="458"/>
      <c r="O156" s="458"/>
      <c r="P156" s="458"/>
      <c r="Q156" s="458"/>
      <c r="R156" s="458"/>
      <c r="S156" s="458"/>
      <c r="T156" s="458"/>
      <c r="U156" s="458"/>
      <c r="V156" s="458"/>
      <c r="W156" s="458"/>
      <c r="X156" s="458"/>
      <c r="Y156" s="787">
        <f t="shared" si="58"/>
        <v>500000000</v>
      </c>
      <c r="Z156" s="787">
        <f t="shared" si="58"/>
        <v>499987700</v>
      </c>
      <c r="AA156" s="787">
        <f t="shared" si="58"/>
        <v>474987002</v>
      </c>
      <c r="AB156" s="787">
        <f t="shared" si="58"/>
        <v>474987002</v>
      </c>
      <c r="AC156" s="453"/>
    </row>
    <row r="157" spans="1:29" ht="16.5" thickTop="1" thickBot="1" x14ac:dyDescent="0.3">
      <c r="A157" s="456"/>
      <c r="B157" s="456"/>
      <c r="C157" s="456"/>
      <c r="D157" s="457"/>
      <c r="E157" s="457"/>
      <c r="F157" s="457"/>
      <c r="G157" s="457"/>
      <c r="H157" s="466" t="s">
        <v>2548</v>
      </c>
      <c r="I157" s="459">
        <v>500000000</v>
      </c>
      <c r="J157" s="459">
        <v>500000000</v>
      </c>
      <c r="K157" s="458">
        <v>0</v>
      </c>
      <c r="L157" s="458">
        <v>0</v>
      </c>
      <c r="M157" s="458"/>
      <c r="N157" s="458"/>
      <c r="O157" s="458"/>
      <c r="P157" s="458"/>
      <c r="Q157" s="458"/>
      <c r="R157" s="458"/>
      <c r="S157" s="458"/>
      <c r="T157" s="458"/>
      <c r="U157" s="458"/>
      <c r="V157" s="458"/>
      <c r="W157" s="458"/>
      <c r="X157" s="458"/>
      <c r="Y157" s="787">
        <f t="shared" si="58"/>
        <v>500000000</v>
      </c>
      <c r="Z157" s="787">
        <f t="shared" si="58"/>
        <v>500000000</v>
      </c>
      <c r="AA157" s="787">
        <f t="shared" si="58"/>
        <v>0</v>
      </c>
      <c r="AB157" s="787">
        <f t="shared" si="58"/>
        <v>0</v>
      </c>
      <c r="AC157" s="453"/>
    </row>
    <row r="158" spans="1:29" ht="16.5" thickTop="1" thickBot="1" x14ac:dyDescent="0.3">
      <c r="A158" s="460">
        <v>2</v>
      </c>
      <c r="B158" s="460" t="s">
        <v>1354</v>
      </c>
      <c r="C158" s="460" t="s">
        <v>1359</v>
      </c>
      <c r="D158" s="460" t="s">
        <v>1354</v>
      </c>
      <c r="E158" s="467"/>
      <c r="F158" s="467"/>
      <c r="G158" s="465"/>
      <c r="H158" s="465" t="s">
        <v>1753</v>
      </c>
      <c r="I158" s="468">
        <f>+I159</f>
        <v>473629350</v>
      </c>
      <c r="J158" s="468">
        <f t="shared" ref="J158:X160" si="60">+J159</f>
        <v>473629350</v>
      </c>
      <c r="K158" s="468">
        <f t="shared" si="60"/>
        <v>286814675</v>
      </c>
      <c r="L158" s="468">
        <f t="shared" si="60"/>
        <v>286814675</v>
      </c>
      <c r="M158" s="468">
        <f t="shared" si="60"/>
        <v>0</v>
      </c>
      <c r="N158" s="468">
        <f t="shared" si="60"/>
        <v>0</v>
      </c>
      <c r="O158" s="468">
        <f t="shared" si="60"/>
        <v>0</v>
      </c>
      <c r="P158" s="468">
        <f t="shared" si="60"/>
        <v>0</v>
      </c>
      <c r="Q158" s="468">
        <f t="shared" si="60"/>
        <v>0</v>
      </c>
      <c r="R158" s="468">
        <f t="shared" si="60"/>
        <v>0</v>
      </c>
      <c r="S158" s="468">
        <f t="shared" si="60"/>
        <v>0</v>
      </c>
      <c r="T158" s="468">
        <f t="shared" si="60"/>
        <v>0</v>
      </c>
      <c r="U158" s="468">
        <f t="shared" si="60"/>
        <v>0</v>
      </c>
      <c r="V158" s="468">
        <f t="shared" si="60"/>
        <v>0</v>
      </c>
      <c r="W158" s="468">
        <f t="shared" si="60"/>
        <v>0</v>
      </c>
      <c r="X158" s="468">
        <f t="shared" si="60"/>
        <v>0</v>
      </c>
      <c r="Y158" s="791">
        <f t="shared" si="58"/>
        <v>473629350</v>
      </c>
      <c r="Z158" s="791">
        <f t="shared" si="58"/>
        <v>473629350</v>
      </c>
      <c r="AA158" s="791">
        <f t="shared" si="58"/>
        <v>286814675</v>
      </c>
      <c r="AB158" s="791">
        <f t="shared" si="58"/>
        <v>286814675</v>
      </c>
      <c r="AC158" s="453"/>
    </row>
    <row r="159" spans="1:29" ht="16.5" thickTop="1" thickBot="1" x14ac:dyDescent="0.3">
      <c r="A159" s="460">
        <v>2</v>
      </c>
      <c r="B159" s="460" t="s">
        <v>1354</v>
      </c>
      <c r="C159" s="460" t="s">
        <v>1359</v>
      </c>
      <c r="D159" s="460" t="s">
        <v>1354</v>
      </c>
      <c r="E159" s="460" t="s">
        <v>1345</v>
      </c>
      <c r="F159" s="460"/>
      <c r="G159" s="460"/>
      <c r="H159" s="465" t="s">
        <v>1447</v>
      </c>
      <c r="I159" s="461">
        <f>+I160</f>
        <v>473629350</v>
      </c>
      <c r="J159" s="461">
        <f t="shared" si="60"/>
        <v>473629350</v>
      </c>
      <c r="K159" s="461">
        <f t="shared" si="60"/>
        <v>286814675</v>
      </c>
      <c r="L159" s="461">
        <f t="shared" si="60"/>
        <v>286814675</v>
      </c>
      <c r="M159" s="461">
        <f t="shared" si="60"/>
        <v>0</v>
      </c>
      <c r="N159" s="461">
        <f t="shared" si="60"/>
        <v>0</v>
      </c>
      <c r="O159" s="461">
        <f t="shared" si="60"/>
        <v>0</v>
      </c>
      <c r="P159" s="461">
        <f t="shared" si="60"/>
        <v>0</v>
      </c>
      <c r="Q159" s="461">
        <f t="shared" si="60"/>
        <v>0</v>
      </c>
      <c r="R159" s="461">
        <f t="shared" si="60"/>
        <v>0</v>
      </c>
      <c r="S159" s="461">
        <f t="shared" si="60"/>
        <v>0</v>
      </c>
      <c r="T159" s="461">
        <f t="shared" si="60"/>
        <v>0</v>
      </c>
      <c r="U159" s="461">
        <f t="shared" si="60"/>
        <v>0</v>
      </c>
      <c r="V159" s="461">
        <f t="shared" si="60"/>
        <v>0</v>
      </c>
      <c r="W159" s="461">
        <f t="shared" si="60"/>
        <v>0</v>
      </c>
      <c r="X159" s="461">
        <f t="shared" si="60"/>
        <v>0</v>
      </c>
      <c r="Y159" s="791">
        <f t="shared" si="58"/>
        <v>473629350</v>
      </c>
      <c r="Z159" s="791">
        <f t="shared" si="58"/>
        <v>473629350</v>
      </c>
      <c r="AA159" s="791">
        <f t="shared" si="58"/>
        <v>286814675</v>
      </c>
      <c r="AB159" s="791">
        <f t="shared" si="58"/>
        <v>286814675</v>
      </c>
      <c r="AC159" s="453"/>
    </row>
    <row r="160" spans="1:29" ht="16.5" thickTop="1" thickBot="1" x14ac:dyDescent="0.3">
      <c r="A160" s="456">
        <v>2</v>
      </c>
      <c r="B160" s="456" t="s">
        <v>1354</v>
      </c>
      <c r="C160" s="456" t="s">
        <v>1359</v>
      </c>
      <c r="D160" s="457" t="s">
        <v>1354</v>
      </c>
      <c r="E160" s="457" t="s">
        <v>1345</v>
      </c>
      <c r="F160" s="457" t="s">
        <v>1345</v>
      </c>
      <c r="G160" s="456"/>
      <c r="H160" s="466" t="s">
        <v>1448</v>
      </c>
      <c r="I160" s="505">
        <f>SUM(I161:I161)</f>
        <v>473629350</v>
      </c>
      <c r="J160" s="505">
        <f>SUM(J161:J161)</f>
        <v>473629350</v>
      </c>
      <c r="K160" s="505">
        <f>SUM(K161:K161)</f>
        <v>286814675</v>
      </c>
      <c r="L160" s="505">
        <f>SUM(L161:L161)</f>
        <v>286814675</v>
      </c>
      <c r="M160" s="505">
        <f>SUM(M161:M161)</f>
        <v>0</v>
      </c>
      <c r="N160" s="505">
        <f t="shared" si="60"/>
        <v>0</v>
      </c>
      <c r="O160" s="505">
        <f t="shared" si="60"/>
        <v>0</v>
      </c>
      <c r="P160" s="505">
        <f t="shared" si="60"/>
        <v>0</v>
      </c>
      <c r="Q160" s="505">
        <f t="shared" si="60"/>
        <v>0</v>
      </c>
      <c r="R160" s="505">
        <f t="shared" si="60"/>
        <v>0</v>
      </c>
      <c r="S160" s="505">
        <f t="shared" si="60"/>
        <v>0</v>
      </c>
      <c r="T160" s="505">
        <f t="shared" si="60"/>
        <v>0</v>
      </c>
      <c r="U160" s="505">
        <f t="shared" si="60"/>
        <v>0</v>
      </c>
      <c r="V160" s="505">
        <f t="shared" si="60"/>
        <v>0</v>
      </c>
      <c r="W160" s="505">
        <f t="shared" si="60"/>
        <v>0</v>
      </c>
      <c r="X160" s="505">
        <f t="shared" si="60"/>
        <v>0</v>
      </c>
      <c r="Y160" s="787">
        <f t="shared" si="58"/>
        <v>473629350</v>
      </c>
      <c r="Z160" s="787">
        <f t="shared" si="58"/>
        <v>473629350</v>
      </c>
      <c r="AA160" s="787">
        <f>+L160+O160+S160+W160</f>
        <v>286814675</v>
      </c>
      <c r="AB160" s="787">
        <f>+M160+P160+T160+X160</f>
        <v>0</v>
      </c>
      <c r="AC160" s="453"/>
    </row>
    <row r="161" spans="1:29" ht="16.5" thickTop="1" thickBot="1" x14ac:dyDescent="0.3">
      <c r="A161" s="456">
        <v>2</v>
      </c>
      <c r="B161" s="456" t="s">
        <v>1354</v>
      </c>
      <c r="C161" s="456" t="s">
        <v>1359</v>
      </c>
      <c r="D161" s="457" t="s">
        <v>1354</v>
      </c>
      <c r="E161" s="457" t="s">
        <v>1345</v>
      </c>
      <c r="F161" s="457" t="s">
        <v>1345</v>
      </c>
      <c r="G161" s="457" t="s">
        <v>1345</v>
      </c>
      <c r="H161" s="466" t="s">
        <v>2549</v>
      </c>
      <c r="I161" s="459">
        <v>473629350</v>
      </c>
      <c r="J161" s="459">
        <v>473629350</v>
      </c>
      <c r="K161" s="459">
        <v>286814675</v>
      </c>
      <c r="L161" s="459">
        <v>286814675</v>
      </c>
      <c r="M161" s="459">
        <v>0</v>
      </c>
      <c r="N161" s="458"/>
      <c r="O161" s="458"/>
      <c r="P161" s="458"/>
      <c r="Q161" s="458"/>
      <c r="R161" s="458"/>
      <c r="S161" s="458"/>
      <c r="T161" s="458"/>
      <c r="U161" s="458"/>
      <c r="V161" s="458"/>
      <c r="W161" s="458"/>
      <c r="X161" s="458"/>
      <c r="Y161" s="787">
        <f t="shared" si="58"/>
        <v>473629350</v>
      </c>
      <c r="Z161" s="787">
        <f t="shared" si="58"/>
        <v>473629350</v>
      </c>
      <c r="AA161" s="787">
        <f t="shared" si="58"/>
        <v>286814675</v>
      </c>
      <c r="AB161" s="787">
        <f t="shared" si="58"/>
        <v>286814675</v>
      </c>
      <c r="AC161" s="453"/>
    </row>
    <row r="162" spans="1:29" ht="16.5" thickTop="1" thickBot="1" x14ac:dyDescent="0.3">
      <c r="A162" s="460">
        <v>2</v>
      </c>
      <c r="B162" s="460" t="s">
        <v>1354</v>
      </c>
      <c r="C162" s="460" t="s">
        <v>1359</v>
      </c>
      <c r="D162" s="460" t="s">
        <v>1355</v>
      </c>
      <c r="E162" s="467"/>
      <c r="F162" s="467"/>
      <c r="G162" s="465"/>
      <c r="H162" s="465" t="s">
        <v>1754</v>
      </c>
      <c r="I162" s="468">
        <f>+I163</f>
        <v>54975433178</v>
      </c>
      <c r="J162" s="468">
        <f t="shared" ref="J162:X164" si="61">+J163</f>
        <v>49582140398</v>
      </c>
      <c r="K162" s="468">
        <f t="shared" si="61"/>
        <v>1327691017</v>
      </c>
      <c r="L162" s="468">
        <f t="shared" si="61"/>
        <v>1327691017</v>
      </c>
      <c r="M162" s="468">
        <f>+M163</f>
        <v>0</v>
      </c>
      <c r="N162" s="468">
        <f t="shared" si="61"/>
        <v>0</v>
      </c>
      <c r="O162" s="468">
        <f t="shared" si="61"/>
        <v>0</v>
      </c>
      <c r="P162" s="468">
        <f t="shared" si="61"/>
        <v>0</v>
      </c>
      <c r="Q162" s="468">
        <f t="shared" si="61"/>
        <v>0</v>
      </c>
      <c r="R162" s="468">
        <f t="shared" si="61"/>
        <v>0</v>
      </c>
      <c r="S162" s="468">
        <f t="shared" si="61"/>
        <v>0</v>
      </c>
      <c r="T162" s="468">
        <f t="shared" si="61"/>
        <v>0</v>
      </c>
      <c r="U162" s="468">
        <f t="shared" si="61"/>
        <v>0</v>
      </c>
      <c r="V162" s="468">
        <f t="shared" si="61"/>
        <v>0</v>
      </c>
      <c r="W162" s="468">
        <f t="shared" si="61"/>
        <v>0</v>
      </c>
      <c r="X162" s="468">
        <f t="shared" si="61"/>
        <v>0</v>
      </c>
      <c r="Y162" s="791">
        <f>+I162+M162+Q162+U162</f>
        <v>54975433178</v>
      </c>
      <c r="Z162" s="791">
        <f t="shared" si="58"/>
        <v>49582140398</v>
      </c>
      <c r="AA162" s="791">
        <f t="shared" si="58"/>
        <v>1327691017</v>
      </c>
      <c r="AB162" s="791">
        <f t="shared" si="58"/>
        <v>1327691017</v>
      </c>
      <c r="AC162" s="453"/>
    </row>
    <row r="163" spans="1:29" ht="16.5" thickTop="1" thickBot="1" x14ac:dyDescent="0.3">
      <c r="A163" s="460">
        <v>2</v>
      </c>
      <c r="B163" s="460" t="s">
        <v>1354</v>
      </c>
      <c r="C163" s="460" t="s">
        <v>1359</v>
      </c>
      <c r="D163" s="460" t="s">
        <v>1355</v>
      </c>
      <c r="E163" s="460" t="s">
        <v>1345</v>
      </c>
      <c r="F163" s="460"/>
      <c r="G163" s="460"/>
      <c r="H163" s="465" t="s">
        <v>1447</v>
      </c>
      <c r="I163" s="461">
        <f>+I164</f>
        <v>54975433178</v>
      </c>
      <c r="J163" s="461">
        <f t="shared" si="61"/>
        <v>49582140398</v>
      </c>
      <c r="K163" s="461">
        <f t="shared" si="61"/>
        <v>1327691017</v>
      </c>
      <c r="L163" s="461">
        <f t="shared" si="61"/>
        <v>1327691017</v>
      </c>
      <c r="M163" s="461">
        <f t="shared" si="61"/>
        <v>0</v>
      </c>
      <c r="N163" s="461">
        <f t="shared" si="61"/>
        <v>0</v>
      </c>
      <c r="O163" s="461">
        <f t="shared" si="61"/>
        <v>0</v>
      </c>
      <c r="P163" s="461">
        <f t="shared" si="61"/>
        <v>0</v>
      </c>
      <c r="Q163" s="461">
        <f t="shared" si="61"/>
        <v>0</v>
      </c>
      <c r="R163" s="461">
        <f t="shared" si="61"/>
        <v>0</v>
      </c>
      <c r="S163" s="461">
        <f t="shared" si="61"/>
        <v>0</v>
      </c>
      <c r="T163" s="461">
        <f t="shared" si="61"/>
        <v>0</v>
      </c>
      <c r="U163" s="461">
        <f t="shared" si="61"/>
        <v>0</v>
      </c>
      <c r="V163" s="461">
        <f t="shared" si="61"/>
        <v>0</v>
      </c>
      <c r="W163" s="461">
        <f t="shared" si="61"/>
        <v>0</v>
      </c>
      <c r="X163" s="461">
        <f t="shared" si="61"/>
        <v>0</v>
      </c>
      <c r="Y163" s="791">
        <f>+I163+M163+Q163+U163</f>
        <v>54975433178</v>
      </c>
      <c r="Z163" s="791">
        <f t="shared" si="58"/>
        <v>49582140398</v>
      </c>
      <c r="AA163" s="791">
        <f t="shared" si="58"/>
        <v>1327691017</v>
      </c>
      <c r="AB163" s="791">
        <f t="shared" si="58"/>
        <v>1327691017</v>
      </c>
      <c r="AC163" s="453"/>
    </row>
    <row r="164" spans="1:29" ht="16.5" thickTop="1" thickBot="1" x14ac:dyDescent="0.3">
      <c r="A164" s="456">
        <v>2</v>
      </c>
      <c r="B164" s="456" t="s">
        <v>1354</v>
      </c>
      <c r="C164" s="456" t="s">
        <v>1359</v>
      </c>
      <c r="D164" s="457" t="s">
        <v>1355</v>
      </c>
      <c r="E164" s="457" t="s">
        <v>1345</v>
      </c>
      <c r="F164" s="457" t="s">
        <v>1345</v>
      </c>
      <c r="G164" s="456"/>
      <c r="H164" s="466" t="s">
        <v>1448</v>
      </c>
      <c r="I164" s="505">
        <f>SUM(I165:I166)</f>
        <v>54975433178</v>
      </c>
      <c r="J164" s="505">
        <f>SUM(J165:J166)</f>
        <v>49582140398</v>
      </c>
      <c r="K164" s="505">
        <f>SUM(K165:K166)</f>
        <v>1327691017</v>
      </c>
      <c r="L164" s="505">
        <f>SUM(L165:L166)</f>
        <v>1327691017</v>
      </c>
      <c r="M164" s="505">
        <f>+M165+M166</f>
        <v>0</v>
      </c>
      <c r="N164" s="505">
        <f t="shared" si="61"/>
        <v>0</v>
      </c>
      <c r="O164" s="505">
        <f t="shared" si="61"/>
        <v>0</v>
      </c>
      <c r="P164" s="505">
        <f t="shared" si="61"/>
        <v>0</v>
      </c>
      <c r="Q164" s="505">
        <f t="shared" si="61"/>
        <v>0</v>
      </c>
      <c r="R164" s="505">
        <f t="shared" si="61"/>
        <v>0</v>
      </c>
      <c r="S164" s="505">
        <f t="shared" si="61"/>
        <v>0</v>
      </c>
      <c r="T164" s="505">
        <f t="shared" si="61"/>
        <v>0</v>
      </c>
      <c r="U164" s="505">
        <f t="shared" si="61"/>
        <v>0</v>
      </c>
      <c r="V164" s="505">
        <f t="shared" si="61"/>
        <v>0</v>
      </c>
      <c r="W164" s="505">
        <f t="shared" si="61"/>
        <v>0</v>
      </c>
      <c r="X164" s="505">
        <f t="shared" si="61"/>
        <v>0</v>
      </c>
      <c r="Y164" s="787">
        <f>+I164+M164+Q164+U164</f>
        <v>54975433178</v>
      </c>
      <c r="Z164" s="787">
        <f t="shared" si="58"/>
        <v>49582140398</v>
      </c>
      <c r="AA164" s="787">
        <f t="shared" si="58"/>
        <v>1327691017</v>
      </c>
      <c r="AB164" s="787">
        <f t="shared" si="58"/>
        <v>1327691017</v>
      </c>
      <c r="AC164" s="453"/>
    </row>
    <row r="165" spans="1:29" ht="16.5" thickTop="1" thickBot="1" x14ac:dyDescent="0.3">
      <c r="A165" s="456">
        <v>2</v>
      </c>
      <c r="B165" s="456" t="s">
        <v>1354</v>
      </c>
      <c r="C165" s="456" t="s">
        <v>1359</v>
      </c>
      <c r="D165" s="457" t="s">
        <v>1355</v>
      </c>
      <c r="E165" s="457" t="s">
        <v>1345</v>
      </c>
      <c r="F165" s="457" t="s">
        <v>1345</v>
      </c>
      <c r="G165" s="457" t="s">
        <v>1345</v>
      </c>
      <c r="H165" s="511" t="s">
        <v>2550</v>
      </c>
      <c r="I165" s="459">
        <v>48703703640</v>
      </c>
      <c r="J165" s="505">
        <v>44146542694</v>
      </c>
      <c r="K165" s="505">
        <v>44938866</v>
      </c>
      <c r="L165" s="458">
        <v>44938866</v>
      </c>
      <c r="M165" s="458"/>
      <c r="N165" s="458"/>
      <c r="O165" s="458"/>
      <c r="P165" s="458"/>
      <c r="Q165" s="458"/>
      <c r="R165" s="458"/>
      <c r="S165" s="458"/>
      <c r="T165" s="458"/>
      <c r="U165" s="458"/>
      <c r="V165" s="458"/>
      <c r="W165" s="458"/>
      <c r="X165" s="458"/>
      <c r="Y165" s="787">
        <f t="shared" ref="Y165:AB167" si="62">+I165+M165+Q165+U165</f>
        <v>48703703640</v>
      </c>
      <c r="Z165" s="787">
        <f t="shared" si="62"/>
        <v>44146542694</v>
      </c>
      <c r="AA165" s="787">
        <f t="shared" si="62"/>
        <v>44938866</v>
      </c>
      <c r="AB165" s="787">
        <f t="shared" si="62"/>
        <v>44938866</v>
      </c>
      <c r="AC165" s="453"/>
    </row>
    <row r="166" spans="1:29" ht="16.5" thickTop="1" thickBot="1" x14ac:dyDescent="0.3">
      <c r="A166" s="456"/>
      <c r="B166" s="456"/>
      <c r="C166" s="456"/>
      <c r="D166" s="457"/>
      <c r="E166" s="457"/>
      <c r="F166" s="457"/>
      <c r="G166" s="457"/>
      <c r="H166" s="466" t="s">
        <v>2551</v>
      </c>
      <c r="I166" s="459">
        <v>6271729538</v>
      </c>
      <c r="J166" s="505">
        <f>5259577338+176020366</f>
        <v>5435597704</v>
      </c>
      <c r="K166" s="505">
        <v>1282752151</v>
      </c>
      <c r="L166" s="458">
        <v>1282752151</v>
      </c>
      <c r="M166" s="458"/>
      <c r="N166" s="458"/>
      <c r="O166" s="458"/>
      <c r="P166" s="458"/>
      <c r="Q166" s="458"/>
      <c r="R166" s="458"/>
      <c r="S166" s="458"/>
      <c r="T166" s="458"/>
      <c r="U166" s="458"/>
      <c r="V166" s="458"/>
      <c r="W166" s="458"/>
      <c r="X166" s="458"/>
      <c r="Y166" s="787">
        <f>+I166+M166+Q166+U166</f>
        <v>6271729538</v>
      </c>
      <c r="Z166" s="787">
        <f>+J166+N166+R166+V166</f>
        <v>5435597704</v>
      </c>
      <c r="AA166" s="787">
        <f>+K166+O166+S166+W166</f>
        <v>1282752151</v>
      </c>
      <c r="AB166" s="787">
        <f>+L166+P166+T166+X166</f>
        <v>1282752151</v>
      </c>
      <c r="AC166" s="453"/>
    </row>
    <row r="167" spans="1:29" ht="16.5" thickTop="1" thickBot="1" x14ac:dyDescent="0.3">
      <c r="A167" s="454">
        <v>2</v>
      </c>
      <c r="B167" s="454" t="s">
        <v>1354</v>
      </c>
      <c r="C167" s="454" t="s">
        <v>1360</v>
      </c>
      <c r="D167" s="454"/>
      <c r="E167" s="462"/>
      <c r="F167" s="462"/>
      <c r="G167" s="462"/>
      <c r="H167" s="463" t="s">
        <v>1755</v>
      </c>
      <c r="I167" s="464">
        <f>I168</f>
        <v>472708992</v>
      </c>
      <c r="J167" s="464">
        <f t="shared" ref="J167:X167" si="63">J168</f>
        <v>320000000</v>
      </c>
      <c r="K167" s="464">
        <f t="shared" si="63"/>
        <v>208500000</v>
      </c>
      <c r="L167" s="464">
        <f t="shared" si="63"/>
        <v>208500000</v>
      </c>
      <c r="M167" s="464">
        <f t="shared" si="63"/>
        <v>0</v>
      </c>
      <c r="N167" s="464">
        <f t="shared" si="63"/>
        <v>0</v>
      </c>
      <c r="O167" s="464">
        <f t="shared" si="63"/>
        <v>0</v>
      </c>
      <c r="P167" s="464">
        <f t="shared" si="63"/>
        <v>0</v>
      </c>
      <c r="Q167" s="464">
        <f t="shared" si="63"/>
        <v>0</v>
      </c>
      <c r="R167" s="464">
        <f t="shared" si="63"/>
        <v>0</v>
      </c>
      <c r="S167" s="464">
        <f t="shared" si="63"/>
        <v>0</v>
      </c>
      <c r="T167" s="464">
        <f t="shared" si="63"/>
        <v>0</v>
      </c>
      <c r="U167" s="464">
        <f t="shared" si="63"/>
        <v>0</v>
      </c>
      <c r="V167" s="464">
        <f t="shared" si="63"/>
        <v>0</v>
      </c>
      <c r="W167" s="464">
        <f t="shared" si="63"/>
        <v>0</v>
      </c>
      <c r="X167" s="464">
        <f t="shared" si="63"/>
        <v>0</v>
      </c>
      <c r="Y167" s="785">
        <f t="shared" si="62"/>
        <v>472708992</v>
      </c>
      <c r="Z167" s="785">
        <f t="shared" si="62"/>
        <v>320000000</v>
      </c>
      <c r="AA167" s="785">
        <f t="shared" si="62"/>
        <v>208500000</v>
      </c>
      <c r="AB167" s="785">
        <f t="shared" si="62"/>
        <v>208500000</v>
      </c>
      <c r="AC167" s="453"/>
    </row>
    <row r="168" spans="1:29" ht="16.5" thickTop="1" thickBot="1" x14ac:dyDescent="0.3">
      <c r="A168" s="460">
        <v>2</v>
      </c>
      <c r="B168" s="460" t="s">
        <v>1354</v>
      </c>
      <c r="C168" s="460" t="s">
        <v>1360</v>
      </c>
      <c r="D168" s="506" t="s">
        <v>1350</v>
      </c>
      <c r="E168" s="467"/>
      <c r="F168" s="467"/>
      <c r="G168" s="465"/>
      <c r="H168" s="465" t="s">
        <v>1756</v>
      </c>
      <c r="I168" s="468">
        <f>+I169</f>
        <v>472708992</v>
      </c>
      <c r="J168" s="468">
        <f t="shared" ref="J168:AB170" si="64">+J169</f>
        <v>320000000</v>
      </c>
      <c r="K168" s="468">
        <f t="shared" si="64"/>
        <v>208500000</v>
      </c>
      <c r="L168" s="468">
        <f t="shared" si="64"/>
        <v>208500000</v>
      </c>
      <c r="M168" s="468">
        <f t="shared" si="64"/>
        <v>0</v>
      </c>
      <c r="N168" s="468">
        <f t="shared" si="64"/>
        <v>0</v>
      </c>
      <c r="O168" s="468">
        <f t="shared" si="64"/>
        <v>0</v>
      </c>
      <c r="P168" s="468">
        <f t="shared" si="64"/>
        <v>0</v>
      </c>
      <c r="Q168" s="468">
        <f t="shared" si="64"/>
        <v>0</v>
      </c>
      <c r="R168" s="468">
        <f t="shared" si="64"/>
        <v>0</v>
      </c>
      <c r="S168" s="468">
        <f t="shared" si="64"/>
        <v>0</v>
      </c>
      <c r="T168" s="468">
        <f t="shared" si="64"/>
        <v>0</v>
      </c>
      <c r="U168" s="468">
        <f t="shared" si="64"/>
        <v>0</v>
      </c>
      <c r="V168" s="468">
        <f t="shared" si="64"/>
        <v>0</v>
      </c>
      <c r="W168" s="468">
        <f t="shared" si="64"/>
        <v>0</v>
      </c>
      <c r="X168" s="468">
        <f t="shared" si="64"/>
        <v>0</v>
      </c>
      <c r="Y168" s="791">
        <f>+I168+M168+Q168+U168</f>
        <v>472708992</v>
      </c>
      <c r="Z168" s="791">
        <f>+J168+N168+R168+V168</f>
        <v>320000000</v>
      </c>
      <c r="AA168" s="791">
        <f>+K168+O168+S168+W168</f>
        <v>208500000</v>
      </c>
      <c r="AB168" s="791">
        <f>+L168+P168+T168+X168</f>
        <v>208500000</v>
      </c>
      <c r="AC168" s="453"/>
    </row>
    <row r="169" spans="1:29" ht="16.5" thickTop="1" thickBot="1" x14ac:dyDescent="0.3">
      <c r="A169" s="460">
        <v>2</v>
      </c>
      <c r="B169" s="460" t="s">
        <v>1354</v>
      </c>
      <c r="C169" s="460" t="s">
        <v>1360</v>
      </c>
      <c r="D169" s="506" t="s">
        <v>1350</v>
      </c>
      <c r="E169" s="460" t="s">
        <v>1345</v>
      </c>
      <c r="F169" s="460"/>
      <c r="G169" s="460"/>
      <c r="H169" s="465" t="s">
        <v>1447</v>
      </c>
      <c r="I169" s="461">
        <f>+I170</f>
        <v>472708992</v>
      </c>
      <c r="J169" s="461">
        <f t="shared" si="64"/>
        <v>320000000</v>
      </c>
      <c r="K169" s="461">
        <f t="shared" si="64"/>
        <v>208500000</v>
      </c>
      <c r="L169" s="461">
        <f t="shared" si="64"/>
        <v>208500000</v>
      </c>
      <c r="M169" s="461">
        <f t="shared" si="64"/>
        <v>0</v>
      </c>
      <c r="N169" s="461">
        <f t="shared" si="64"/>
        <v>0</v>
      </c>
      <c r="O169" s="461">
        <f t="shared" si="64"/>
        <v>0</v>
      </c>
      <c r="P169" s="461">
        <f t="shared" si="64"/>
        <v>0</v>
      </c>
      <c r="Q169" s="461">
        <f t="shared" si="64"/>
        <v>0</v>
      </c>
      <c r="R169" s="461">
        <f t="shared" si="64"/>
        <v>0</v>
      </c>
      <c r="S169" s="461">
        <f t="shared" si="64"/>
        <v>0</v>
      </c>
      <c r="T169" s="461">
        <f t="shared" si="64"/>
        <v>0</v>
      </c>
      <c r="U169" s="461">
        <f t="shared" si="64"/>
        <v>0</v>
      </c>
      <c r="V169" s="461">
        <f t="shared" si="64"/>
        <v>0</v>
      </c>
      <c r="W169" s="461">
        <f t="shared" si="64"/>
        <v>0</v>
      </c>
      <c r="X169" s="461">
        <f t="shared" si="64"/>
        <v>0</v>
      </c>
      <c r="Y169" s="786">
        <f t="shared" si="64"/>
        <v>472708992</v>
      </c>
      <c r="Z169" s="786">
        <f t="shared" si="64"/>
        <v>320000000</v>
      </c>
      <c r="AA169" s="786">
        <f t="shared" si="64"/>
        <v>208500000</v>
      </c>
      <c r="AB169" s="786">
        <f t="shared" si="64"/>
        <v>208500000</v>
      </c>
      <c r="AC169" s="453"/>
    </row>
    <row r="170" spans="1:29" ht="16.5" thickTop="1" thickBot="1" x14ac:dyDescent="0.3">
      <c r="A170" s="456">
        <v>2</v>
      </c>
      <c r="B170" s="456" t="s">
        <v>1354</v>
      </c>
      <c r="C170" s="456" t="s">
        <v>1360</v>
      </c>
      <c r="D170" s="510" t="s">
        <v>1350</v>
      </c>
      <c r="E170" s="457" t="s">
        <v>1345</v>
      </c>
      <c r="F170" s="457" t="s">
        <v>1345</v>
      </c>
      <c r="G170" s="456"/>
      <c r="H170" s="466" t="s">
        <v>1448</v>
      </c>
      <c r="I170" s="505">
        <f>SUM(I171:I172)</f>
        <v>472708992</v>
      </c>
      <c r="J170" s="505">
        <f>SUM(J171:J172)</f>
        <v>320000000</v>
      </c>
      <c r="K170" s="505">
        <f>SUM(K171:K172)</f>
        <v>208500000</v>
      </c>
      <c r="L170" s="505">
        <f>SUM(L171:L172)</f>
        <v>208500000</v>
      </c>
      <c r="M170" s="505">
        <f>SUM(M171:M172)</f>
        <v>0</v>
      </c>
      <c r="N170" s="505">
        <f t="shared" si="64"/>
        <v>0</v>
      </c>
      <c r="O170" s="505">
        <f t="shared" si="64"/>
        <v>0</v>
      </c>
      <c r="P170" s="505">
        <f t="shared" si="64"/>
        <v>0</v>
      </c>
      <c r="Q170" s="505">
        <f t="shared" si="64"/>
        <v>0</v>
      </c>
      <c r="R170" s="505">
        <f t="shared" si="64"/>
        <v>0</v>
      </c>
      <c r="S170" s="505">
        <f t="shared" si="64"/>
        <v>0</v>
      </c>
      <c r="T170" s="505">
        <f t="shared" si="64"/>
        <v>0</v>
      </c>
      <c r="U170" s="505">
        <f t="shared" si="64"/>
        <v>0</v>
      </c>
      <c r="V170" s="505">
        <f t="shared" si="64"/>
        <v>0</v>
      </c>
      <c r="W170" s="505">
        <f t="shared" si="64"/>
        <v>0</v>
      </c>
      <c r="X170" s="505">
        <f t="shared" si="64"/>
        <v>0</v>
      </c>
      <c r="Y170" s="787">
        <f>+I170+M170+Q170+U170</f>
        <v>472708992</v>
      </c>
      <c r="Z170" s="787">
        <f>+J170+N170+R170+V170</f>
        <v>320000000</v>
      </c>
      <c r="AA170" s="787">
        <f>+K170+O170+S170+W170</f>
        <v>208500000</v>
      </c>
      <c r="AB170" s="787">
        <f>+L170+P170+T170+X170</f>
        <v>208500000</v>
      </c>
      <c r="AC170" s="453"/>
    </row>
    <row r="171" spans="1:29" ht="16.5" thickTop="1" thickBot="1" x14ac:dyDescent="0.3">
      <c r="A171" s="456">
        <v>2</v>
      </c>
      <c r="B171" s="456" t="s">
        <v>1354</v>
      </c>
      <c r="C171" s="456" t="s">
        <v>1360</v>
      </c>
      <c r="D171" s="510" t="s">
        <v>1350</v>
      </c>
      <c r="E171" s="457" t="s">
        <v>1345</v>
      </c>
      <c r="F171" s="457" t="s">
        <v>1345</v>
      </c>
      <c r="G171" s="457" t="s">
        <v>1345</v>
      </c>
      <c r="H171" s="466" t="s">
        <v>2552</v>
      </c>
      <c r="I171" s="459">
        <v>152708992</v>
      </c>
      <c r="J171" s="458">
        <v>0</v>
      </c>
      <c r="K171" s="458">
        <v>0</v>
      </c>
      <c r="L171" s="458">
        <v>0</v>
      </c>
      <c r="M171" s="458">
        <v>0</v>
      </c>
      <c r="N171" s="458"/>
      <c r="O171" s="458"/>
      <c r="P171" s="458"/>
      <c r="Q171" s="458"/>
      <c r="R171" s="458"/>
      <c r="S171" s="458"/>
      <c r="T171" s="458"/>
      <c r="U171" s="458"/>
      <c r="V171" s="458"/>
      <c r="W171" s="458"/>
      <c r="X171" s="458"/>
      <c r="Y171" s="787">
        <f t="shared" ref="Y171:AB186" si="65">+I171+M171+Q171+U171</f>
        <v>152708992</v>
      </c>
      <c r="Z171" s="787">
        <f t="shared" si="65"/>
        <v>0</v>
      </c>
      <c r="AA171" s="787">
        <f t="shared" si="65"/>
        <v>0</v>
      </c>
      <c r="AB171" s="787">
        <f t="shared" si="65"/>
        <v>0</v>
      </c>
      <c r="AC171" s="453"/>
    </row>
    <row r="172" spans="1:29" ht="16.5" thickTop="1" thickBot="1" x14ac:dyDescent="0.3">
      <c r="A172" s="456"/>
      <c r="B172" s="456"/>
      <c r="C172" s="456"/>
      <c r="D172" s="510"/>
      <c r="E172" s="457"/>
      <c r="F172" s="457"/>
      <c r="G172" s="457"/>
      <c r="H172" s="466" t="s">
        <v>2553</v>
      </c>
      <c r="I172" s="459">
        <v>320000000</v>
      </c>
      <c r="J172" s="459">
        <v>320000000</v>
      </c>
      <c r="K172" s="458">
        <v>208500000</v>
      </c>
      <c r="L172" s="458">
        <v>208500000</v>
      </c>
      <c r="M172" s="458">
        <v>0</v>
      </c>
      <c r="N172" s="458"/>
      <c r="O172" s="458"/>
      <c r="P172" s="458"/>
      <c r="Q172" s="458"/>
      <c r="R172" s="458"/>
      <c r="S172" s="458"/>
      <c r="T172" s="458"/>
      <c r="U172" s="458"/>
      <c r="V172" s="458"/>
      <c r="W172" s="458"/>
      <c r="X172" s="458"/>
      <c r="Y172" s="787">
        <f t="shared" si="65"/>
        <v>320000000</v>
      </c>
      <c r="Z172" s="787">
        <f>+J172+N172+R172+V172</f>
        <v>320000000</v>
      </c>
      <c r="AA172" s="787">
        <f>+K172+O172+S172+W172</f>
        <v>208500000</v>
      </c>
      <c r="AB172" s="787">
        <f>+L172+P172+T172+X172</f>
        <v>208500000</v>
      </c>
      <c r="AC172" s="453"/>
    </row>
    <row r="173" spans="1:29" ht="16.5" thickTop="1" thickBot="1" x14ac:dyDescent="0.3">
      <c r="A173" s="454">
        <v>2</v>
      </c>
      <c r="B173" s="454" t="s">
        <v>1354</v>
      </c>
      <c r="C173" s="454" t="s">
        <v>1361</v>
      </c>
      <c r="D173" s="454"/>
      <c r="E173" s="462"/>
      <c r="F173" s="462"/>
      <c r="G173" s="462"/>
      <c r="H173" s="463" t="s">
        <v>1605</v>
      </c>
      <c r="I173" s="464">
        <f t="shared" ref="I173:X173" si="66">+I174+I178</f>
        <v>100000000</v>
      </c>
      <c r="J173" s="464">
        <f t="shared" si="66"/>
        <v>100000000</v>
      </c>
      <c r="K173" s="464">
        <f t="shared" si="66"/>
        <v>50000000</v>
      </c>
      <c r="L173" s="464">
        <f t="shared" si="66"/>
        <v>50000000</v>
      </c>
      <c r="M173" s="464">
        <f t="shared" si="66"/>
        <v>0</v>
      </c>
      <c r="N173" s="464">
        <f t="shared" si="66"/>
        <v>0</v>
      </c>
      <c r="O173" s="464">
        <f t="shared" si="66"/>
        <v>0</v>
      </c>
      <c r="P173" s="464">
        <f t="shared" si="66"/>
        <v>0</v>
      </c>
      <c r="Q173" s="464">
        <f t="shared" si="66"/>
        <v>0</v>
      </c>
      <c r="R173" s="464">
        <f t="shared" si="66"/>
        <v>0</v>
      </c>
      <c r="S173" s="464">
        <f t="shared" si="66"/>
        <v>0</v>
      </c>
      <c r="T173" s="464">
        <f t="shared" si="66"/>
        <v>0</v>
      </c>
      <c r="U173" s="464">
        <f t="shared" si="66"/>
        <v>0</v>
      </c>
      <c r="V173" s="464">
        <f t="shared" si="66"/>
        <v>0</v>
      </c>
      <c r="W173" s="464">
        <f t="shared" si="66"/>
        <v>0</v>
      </c>
      <c r="X173" s="464">
        <f t="shared" si="66"/>
        <v>0</v>
      </c>
      <c r="Y173" s="785">
        <f t="shared" si="65"/>
        <v>100000000</v>
      </c>
      <c r="Z173" s="785">
        <f t="shared" si="65"/>
        <v>100000000</v>
      </c>
      <c r="AA173" s="785">
        <f t="shared" si="65"/>
        <v>50000000</v>
      </c>
      <c r="AB173" s="785">
        <f t="shared" si="65"/>
        <v>50000000</v>
      </c>
      <c r="AC173" s="453"/>
    </row>
    <row r="174" spans="1:29" ht="16.5" thickTop="1" thickBot="1" x14ac:dyDescent="0.3">
      <c r="A174" s="460">
        <v>2</v>
      </c>
      <c r="B174" s="460" t="s">
        <v>1354</v>
      </c>
      <c r="C174" s="460" t="s">
        <v>1361</v>
      </c>
      <c r="D174" s="460" t="s">
        <v>1345</v>
      </c>
      <c r="E174" s="467"/>
      <c r="F174" s="467"/>
      <c r="G174" s="465"/>
      <c r="H174" s="465" t="s">
        <v>1757</v>
      </c>
      <c r="I174" s="468">
        <f>+I175</f>
        <v>100000000</v>
      </c>
      <c r="J174" s="468">
        <f t="shared" ref="J174:X180" si="67">+J175</f>
        <v>100000000</v>
      </c>
      <c r="K174" s="468">
        <f t="shared" si="67"/>
        <v>50000000</v>
      </c>
      <c r="L174" s="468">
        <f t="shared" si="67"/>
        <v>50000000</v>
      </c>
      <c r="M174" s="468">
        <f t="shared" si="67"/>
        <v>0</v>
      </c>
      <c r="N174" s="468">
        <f t="shared" si="67"/>
        <v>0</v>
      </c>
      <c r="O174" s="468">
        <f t="shared" si="67"/>
        <v>0</v>
      </c>
      <c r="P174" s="468">
        <f t="shared" si="67"/>
        <v>0</v>
      </c>
      <c r="Q174" s="468">
        <f t="shared" si="67"/>
        <v>0</v>
      </c>
      <c r="R174" s="468">
        <f t="shared" si="67"/>
        <v>0</v>
      </c>
      <c r="S174" s="468">
        <f t="shared" si="67"/>
        <v>0</v>
      </c>
      <c r="T174" s="468">
        <f t="shared" si="67"/>
        <v>0</v>
      </c>
      <c r="U174" s="468">
        <f t="shared" si="67"/>
        <v>0</v>
      </c>
      <c r="V174" s="468">
        <f t="shared" si="67"/>
        <v>0</v>
      </c>
      <c r="W174" s="468">
        <f t="shared" si="67"/>
        <v>0</v>
      </c>
      <c r="X174" s="468">
        <f t="shared" si="67"/>
        <v>0</v>
      </c>
      <c r="Y174" s="791">
        <f t="shared" si="65"/>
        <v>100000000</v>
      </c>
      <c r="Z174" s="791">
        <f t="shared" si="65"/>
        <v>100000000</v>
      </c>
      <c r="AA174" s="791">
        <f t="shared" si="65"/>
        <v>50000000</v>
      </c>
      <c r="AB174" s="791">
        <f t="shared" si="65"/>
        <v>50000000</v>
      </c>
      <c r="AC174" s="453"/>
    </row>
    <row r="175" spans="1:29" ht="16.5" thickTop="1" thickBot="1" x14ac:dyDescent="0.3">
      <c r="A175" s="460">
        <v>2</v>
      </c>
      <c r="B175" s="460" t="s">
        <v>1354</v>
      </c>
      <c r="C175" s="460" t="s">
        <v>1361</v>
      </c>
      <c r="D175" s="460" t="s">
        <v>1345</v>
      </c>
      <c r="E175" s="460" t="s">
        <v>1345</v>
      </c>
      <c r="F175" s="460"/>
      <c r="G175" s="460"/>
      <c r="H175" s="465" t="s">
        <v>1447</v>
      </c>
      <c r="I175" s="461">
        <f>+I176</f>
        <v>100000000</v>
      </c>
      <c r="J175" s="461">
        <f t="shared" si="67"/>
        <v>100000000</v>
      </c>
      <c r="K175" s="461">
        <f t="shared" si="67"/>
        <v>50000000</v>
      </c>
      <c r="L175" s="461">
        <f t="shared" si="67"/>
        <v>50000000</v>
      </c>
      <c r="M175" s="461">
        <f t="shared" si="67"/>
        <v>0</v>
      </c>
      <c r="N175" s="461">
        <f t="shared" si="67"/>
        <v>0</v>
      </c>
      <c r="O175" s="461">
        <f t="shared" si="67"/>
        <v>0</v>
      </c>
      <c r="P175" s="461">
        <f t="shared" si="67"/>
        <v>0</v>
      </c>
      <c r="Q175" s="461">
        <f t="shared" si="67"/>
        <v>0</v>
      </c>
      <c r="R175" s="461">
        <f t="shared" si="67"/>
        <v>0</v>
      </c>
      <c r="S175" s="461">
        <f t="shared" si="67"/>
        <v>0</v>
      </c>
      <c r="T175" s="461">
        <f t="shared" si="67"/>
        <v>0</v>
      </c>
      <c r="U175" s="461">
        <f t="shared" si="67"/>
        <v>0</v>
      </c>
      <c r="V175" s="461">
        <f t="shared" si="67"/>
        <v>0</v>
      </c>
      <c r="W175" s="461">
        <f t="shared" si="67"/>
        <v>0</v>
      </c>
      <c r="X175" s="461">
        <f t="shared" si="67"/>
        <v>0</v>
      </c>
      <c r="Y175" s="791">
        <f t="shared" si="65"/>
        <v>100000000</v>
      </c>
      <c r="Z175" s="791">
        <f t="shared" si="65"/>
        <v>100000000</v>
      </c>
      <c r="AA175" s="791">
        <f t="shared" si="65"/>
        <v>50000000</v>
      </c>
      <c r="AB175" s="791">
        <f t="shared" si="65"/>
        <v>50000000</v>
      </c>
      <c r="AC175" s="453"/>
    </row>
    <row r="176" spans="1:29" ht="16.5" thickTop="1" thickBot="1" x14ac:dyDescent="0.3">
      <c r="A176" s="456">
        <v>2</v>
      </c>
      <c r="B176" s="456" t="s">
        <v>1354</v>
      </c>
      <c r="C176" s="456" t="s">
        <v>1361</v>
      </c>
      <c r="D176" s="456" t="s">
        <v>1345</v>
      </c>
      <c r="E176" s="457" t="s">
        <v>1345</v>
      </c>
      <c r="F176" s="457" t="s">
        <v>1345</v>
      </c>
      <c r="G176" s="456"/>
      <c r="H176" s="466" t="s">
        <v>1448</v>
      </c>
      <c r="I176" s="505">
        <f>SUM(I177:I177)</f>
        <v>100000000</v>
      </c>
      <c r="J176" s="505">
        <f>SUM(J177:J177)</f>
        <v>100000000</v>
      </c>
      <c r="K176" s="505">
        <f>SUM(K177:K177)</f>
        <v>50000000</v>
      </c>
      <c r="L176" s="505">
        <f>SUM(L177:L177)</f>
        <v>50000000</v>
      </c>
      <c r="M176" s="505">
        <f>SUM(M177:M177)</f>
        <v>0</v>
      </c>
      <c r="N176" s="505">
        <f t="shared" si="67"/>
        <v>0</v>
      </c>
      <c r="O176" s="505">
        <f t="shared" si="67"/>
        <v>0</v>
      </c>
      <c r="P176" s="505">
        <f t="shared" si="67"/>
        <v>0</v>
      </c>
      <c r="Q176" s="505">
        <f t="shared" si="67"/>
        <v>0</v>
      </c>
      <c r="R176" s="505">
        <f t="shared" si="67"/>
        <v>0</v>
      </c>
      <c r="S176" s="505">
        <f t="shared" si="67"/>
        <v>0</v>
      </c>
      <c r="T176" s="505">
        <f t="shared" si="67"/>
        <v>0</v>
      </c>
      <c r="U176" s="505">
        <f t="shared" si="67"/>
        <v>0</v>
      </c>
      <c r="V176" s="505">
        <f t="shared" si="67"/>
        <v>0</v>
      </c>
      <c r="W176" s="505">
        <f t="shared" si="67"/>
        <v>0</v>
      </c>
      <c r="X176" s="505">
        <f t="shared" si="67"/>
        <v>0</v>
      </c>
      <c r="Y176" s="787">
        <f t="shared" si="65"/>
        <v>100000000</v>
      </c>
      <c r="Z176" s="787">
        <f t="shared" si="65"/>
        <v>100000000</v>
      </c>
      <c r="AA176" s="787">
        <f t="shared" si="65"/>
        <v>50000000</v>
      </c>
      <c r="AB176" s="787">
        <f t="shared" si="65"/>
        <v>50000000</v>
      </c>
      <c r="AC176" s="453"/>
    </row>
    <row r="177" spans="1:29" ht="16.5" thickTop="1" thickBot="1" x14ac:dyDescent="0.3">
      <c r="A177" s="456">
        <v>2</v>
      </c>
      <c r="B177" s="456" t="s">
        <v>1354</v>
      </c>
      <c r="C177" s="456" t="s">
        <v>1361</v>
      </c>
      <c r="D177" s="456" t="s">
        <v>1345</v>
      </c>
      <c r="E177" s="457" t="s">
        <v>1345</v>
      </c>
      <c r="F177" s="457" t="s">
        <v>1345</v>
      </c>
      <c r="G177" s="457" t="s">
        <v>1345</v>
      </c>
      <c r="H177" s="466" t="s">
        <v>1813</v>
      </c>
      <c r="I177" s="458">
        <v>100000000</v>
      </c>
      <c r="J177" s="458">
        <v>100000000</v>
      </c>
      <c r="K177" s="458">
        <v>50000000</v>
      </c>
      <c r="L177" s="458">
        <v>50000000</v>
      </c>
      <c r="M177" s="458"/>
      <c r="N177" s="458"/>
      <c r="O177" s="458"/>
      <c r="P177" s="458"/>
      <c r="Q177" s="458"/>
      <c r="R177" s="458"/>
      <c r="S177" s="458"/>
      <c r="T177" s="458"/>
      <c r="U177" s="458"/>
      <c r="V177" s="458"/>
      <c r="W177" s="458"/>
      <c r="X177" s="458"/>
      <c r="Y177" s="787">
        <f t="shared" si="65"/>
        <v>100000000</v>
      </c>
      <c r="Z177" s="787">
        <f t="shared" si="65"/>
        <v>100000000</v>
      </c>
      <c r="AA177" s="787">
        <f t="shared" si="65"/>
        <v>50000000</v>
      </c>
      <c r="AB177" s="787">
        <f t="shared" si="65"/>
        <v>50000000</v>
      </c>
      <c r="AC177" s="453"/>
    </row>
    <row r="178" spans="1:29" ht="16.5" thickTop="1" thickBot="1" x14ac:dyDescent="0.3">
      <c r="A178" s="460">
        <v>2</v>
      </c>
      <c r="B178" s="460" t="s">
        <v>1354</v>
      </c>
      <c r="C178" s="460" t="s">
        <v>1361</v>
      </c>
      <c r="D178" s="506" t="s">
        <v>1350</v>
      </c>
      <c r="E178" s="467"/>
      <c r="F178" s="467"/>
      <c r="G178" s="465"/>
      <c r="H178" s="465" t="s">
        <v>1899</v>
      </c>
      <c r="I178" s="468">
        <f>+I179</f>
        <v>0</v>
      </c>
      <c r="J178" s="468">
        <f t="shared" si="67"/>
        <v>0</v>
      </c>
      <c r="K178" s="468">
        <f t="shared" si="67"/>
        <v>0</v>
      </c>
      <c r="L178" s="468">
        <f t="shared" si="67"/>
        <v>0</v>
      </c>
      <c r="M178" s="468">
        <f t="shared" si="67"/>
        <v>0</v>
      </c>
      <c r="N178" s="468">
        <f t="shared" si="67"/>
        <v>0</v>
      </c>
      <c r="O178" s="468">
        <f t="shared" si="67"/>
        <v>0</v>
      </c>
      <c r="P178" s="468">
        <f t="shared" si="67"/>
        <v>0</v>
      </c>
      <c r="Q178" s="468">
        <f t="shared" si="67"/>
        <v>0</v>
      </c>
      <c r="R178" s="468">
        <f t="shared" si="67"/>
        <v>0</v>
      </c>
      <c r="S178" s="468">
        <f t="shared" si="67"/>
        <v>0</v>
      </c>
      <c r="T178" s="468">
        <f t="shared" si="67"/>
        <v>0</v>
      </c>
      <c r="U178" s="468">
        <f t="shared" si="67"/>
        <v>0</v>
      </c>
      <c r="V178" s="468">
        <f t="shared" si="67"/>
        <v>0</v>
      </c>
      <c r="W178" s="468">
        <f t="shared" si="67"/>
        <v>0</v>
      </c>
      <c r="X178" s="468">
        <f t="shared" si="67"/>
        <v>0</v>
      </c>
      <c r="Y178" s="791">
        <f t="shared" si="65"/>
        <v>0</v>
      </c>
      <c r="Z178" s="791">
        <f t="shared" si="65"/>
        <v>0</v>
      </c>
      <c r="AA178" s="791">
        <f t="shared" si="65"/>
        <v>0</v>
      </c>
      <c r="AB178" s="791">
        <f t="shared" si="65"/>
        <v>0</v>
      </c>
      <c r="AC178" s="453"/>
    </row>
    <row r="179" spans="1:29" ht="16.5" thickTop="1" thickBot="1" x14ac:dyDescent="0.3">
      <c r="A179" s="460">
        <v>2</v>
      </c>
      <c r="B179" s="460" t="s">
        <v>1354</v>
      </c>
      <c r="C179" s="460" t="s">
        <v>1361</v>
      </c>
      <c r="D179" s="506" t="s">
        <v>1350</v>
      </c>
      <c r="E179" s="460" t="s">
        <v>1345</v>
      </c>
      <c r="F179" s="460"/>
      <c r="G179" s="460"/>
      <c r="H179" s="465" t="s">
        <v>1447</v>
      </c>
      <c r="I179" s="461">
        <f>+I180</f>
        <v>0</v>
      </c>
      <c r="J179" s="461">
        <f t="shared" si="67"/>
        <v>0</v>
      </c>
      <c r="K179" s="461">
        <f t="shared" si="67"/>
        <v>0</v>
      </c>
      <c r="L179" s="461">
        <f t="shared" si="67"/>
        <v>0</v>
      </c>
      <c r="M179" s="461">
        <f t="shared" si="67"/>
        <v>0</v>
      </c>
      <c r="N179" s="461">
        <f t="shared" si="67"/>
        <v>0</v>
      </c>
      <c r="O179" s="461">
        <f t="shared" si="67"/>
        <v>0</v>
      </c>
      <c r="P179" s="461">
        <f t="shared" si="67"/>
        <v>0</v>
      </c>
      <c r="Q179" s="461">
        <f t="shared" si="67"/>
        <v>0</v>
      </c>
      <c r="R179" s="461">
        <f t="shared" si="67"/>
        <v>0</v>
      </c>
      <c r="S179" s="461">
        <f t="shared" si="67"/>
        <v>0</v>
      </c>
      <c r="T179" s="461">
        <f t="shared" si="67"/>
        <v>0</v>
      </c>
      <c r="U179" s="461">
        <f t="shared" si="67"/>
        <v>0</v>
      </c>
      <c r="V179" s="461">
        <f t="shared" si="67"/>
        <v>0</v>
      </c>
      <c r="W179" s="461">
        <f t="shared" si="67"/>
        <v>0</v>
      </c>
      <c r="X179" s="461">
        <f t="shared" si="67"/>
        <v>0</v>
      </c>
      <c r="Y179" s="791">
        <f t="shared" si="65"/>
        <v>0</v>
      </c>
      <c r="Z179" s="791">
        <f t="shared" si="65"/>
        <v>0</v>
      </c>
      <c r="AA179" s="791">
        <f t="shared" si="65"/>
        <v>0</v>
      </c>
      <c r="AB179" s="791">
        <f t="shared" si="65"/>
        <v>0</v>
      </c>
      <c r="AC179" s="453"/>
    </row>
    <row r="180" spans="1:29" ht="16.5" thickTop="1" thickBot="1" x14ac:dyDescent="0.3">
      <c r="A180" s="456">
        <v>2</v>
      </c>
      <c r="B180" s="456" t="s">
        <v>1354</v>
      </c>
      <c r="C180" s="456" t="s">
        <v>1361</v>
      </c>
      <c r="D180" s="509" t="s">
        <v>1350</v>
      </c>
      <c r="E180" s="457" t="s">
        <v>1345</v>
      </c>
      <c r="F180" s="457" t="s">
        <v>1345</v>
      </c>
      <c r="G180" s="456"/>
      <c r="H180" s="466" t="s">
        <v>1448</v>
      </c>
      <c r="I180" s="505">
        <f>+I181</f>
        <v>0</v>
      </c>
      <c r="J180" s="505">
        <f t="shared" si="67"/>
        <v>0</v>
      </c>
      <c r="K180" s="505">
        <f t="shared" si="67"/>
        <v>0</v>
      </c>
      <c r="L180" s="505">
        <f t="shared" si="67"/>
        <v>0</v>
      </c>
      <c r="M180" s="505">
        <f t="shared" si="67"/>
        <v>0</v>
      </c>
      <c r="N180" s="505">
        <f t="shared" si="67"/>
        <v>0</v>
      </c>
      <c r="O180" s="505">
        <f t="shared" si="67"/>
        <v>0</v>
      </c>
      <c r="P180" s="505">
        <f t="shared" si="67"/>
        <v>0</v>
      </c>
      <c r="Q180" s="505">
        <f t="shared" si="67"/>
        <v>0</v>
      </c>
      <c r="R180" s="505">
        <f t="shared" si="67"/>
        <v>0</v>
      </c>
      <c r="S180" s="505">
        <f t="shared" si="67"/>
        <v>0</v>
      </c>
      <c r="T180" s="505">
        <f t="shared" si="67"/>
        <v>0</v>
      </c>
      <c r="U180" s="505">
        <f t="shared" si="67"/>
        <v>0</v>
      </c>
      <c r="V180" s="505">
        <f t="shared" si="67"/>
        <v>0</v>
      </c>
      <c r="W180" s="505">
        <f t="shared" si="67"/>
        <v>0</v>
      </c>
      <c r="X180" s="505">
        <f t="shared" si="67"/>
        <v>0</v>
      </c>
      <c r="Y180" s="787">
        <f t="shared" si="65"/>
        <v>0</v>
      </c>
      <c r="Z180" s="787">
        <f t="shared" si="65"/>
        <v>0</v>
      </c>
      <c r="AA180" s="787">
        <f t="shared" si="65"/>
        <v>0</v>
      </c>
      <c r="AB180" s="787">
        <f t="shared" si="65"/>
        <v>0</v>
      </c>
      <c r="AC180" s="453"/>
    </row>
    <row r="181" spans="1:29" ht="16.5" thickTop="1" thickBot="1" x14ac:dyDescent="0.3">
      <c r="A181" s="456">
        <v>2</v>
      </c>
      <c r="B181" s="456" t="s">
        <v>1354</v>
      </c>
      <c r="C181" s="456" t="s">
        <v>1361</v>
      </c>
      <c r="D181" s="509" t="s">
        <v>1350</v>
      </c>
      <c r="E181" s="457" t="s">
        <v>1345</v>
      </c>
      <c r="F181" s="457" t="s">
        <v>1345</v>
      </c>
      <c r="G181" s="457" t="s">
        <v>1345</v>
      </c>
      <c r="H181" s="466" t="s">
        <v>2554</v>
      </c>
      <c r="I181" s="458">
        <f>50000000-50000000</f>
        <v>0</v>
      </c>
      <c r="J181" s="458">
        <f>50000000-50000000</f>
        <v>0</v>
      </c>
      <c r="K181" s="458">
        <f>50000000-50000000</f>
        <v>0</v>
      </c>
      <c r="L181" s="458">
        <f>50000000-50000000</f>
        <v>0</v>
      </c>
      <c r="M181" s="458"/>
      <c r="N181" s="458"/>
      <c r="O181" s="458"/>
      <c r="P181" s="458"/>
      <c r="Q181" s="458"/>
      <c r="R181" s="458"/>
      <c r="S181" s="458"/>
      <c r="T181" s="458"/>
      <c r="U181" s="458"/>
      <c r="V181" s="458"/>
      <c r="W181" s="458"/>
      <c r="X181" s="458"/>
      <c r="Y181" s="787">
        <f t="shared" si="65"/>
        <v>0</v>
      </c>
      <c r="Z181" s="787">
        <f>+J181+N181+R181+V181</f>
        <v>0</v>
      </c>
      <c r="AA181" s="787">
        <f>+K181+O181+S181+W181</f>
        <v>0</v>
      </c>
      <c r="AB181" s="787">
        <f>+L181+P181+T181+X181</f>
        <v>0</v>
      </c>
      <c r="AC181" s="453"/>
    </row>
    <row r="182" spans="1:29" ht="16.5" thickTop="1" thickBot="1" x14ac:dyDescent="0.3">
      <c r="A182" s="454">
        <v>2</v>
      </c>
      <c r="B182" s="454" t="s">
        <v>1354</v>
      </c>
      <c r="C182" s="454" t="s">
        <v>1390</v>
      </c>
      <c r="D182" s="454"/>
      <c r="E182" s="462"/>
      <c r="F182" s="462"/>
      <c r="G182" s="462"/>
      <c r="H182" s="463" t="s">
        <v>1611</v>
      </c>
      <c r="I182" s="464">
        <f>+I183+I187+I195+I191</f>
        <v>1680000000</v>
      </c>
      <c r="J182" s="464">
        <f>+J183+J187+J195+J191</f>
        <v>1361628460</v>
      </c>
      <c r="K182" s="464">
        <f>+K183+K187+K195+K191</f>
        <v>1278714691</v>
      </c>
      <c r="L182" s="464">
        <f>+L183+L187+L195+L191</f>
        <v>1276714691</v>
      </c>
      <c r="M182" s="464">
        <f t="shared" ref="M182:X182" si="68">+M183+M187+M195</f>
        <v>0</v>
      </c>
      <c r="N182" s="464">
        <f t="shared" si="68"/>
        <v>0</v>
      </c>
      <c r="O182" s="464">
        <f t="shared" si="68"/>
        <v>0</v>
      </c>
      <c r="P182" s="464">
        <f t="shared" si="68"/>
        <v>0</v>
      </c>
      <c r="Q182" s="464">
        <f t="shared" si="68"/>
        <v>0</v>
      </c>
      <c r="R182" s="464">
        <f t="shared" si="68"/>
        <v>0</v>
      </c>
      <c r="S182" s="464">
        <f t="shared" si="68"/>
        <v>0</v>
      </c>
      <c r="T182" s="464">
        <f t="shared" si="68"/>
        <v>0</v>
      </c>
      <c r="U182" s="464">
        <f t="shared" si="68"/>
        <v>0</v>
      </c>
      <c r="V182" s="464">
        <f t="shared" si="68"/>
        <v>0</v>
      </c>
      <c r="W182" s="464">
        <f t="shared" si="68"/>
        <v>0</v>
      </c>
      <c r="X182" s="464">
        <f t="shared" si="68"/>
        <v>0</v>
      </c>
      <c r="Y182" s="785">
        <f t="shared" si="65"/>
        <v>1680000000</v>
      </c>
      <c r="Z182" s="785">
        <f t="shared" si="65"/>
        <v>1361628460</v>
      </c>
      <c r="AA182" s="785">
        <f t="shared" si="65"/>
        <v>1278714691</v>
      </c>
      <c r="AB182" s="785">
        <f t="shared" si="65"/>
        <v>1276714691</v>
      </c>
      <c r="AC182" s="453"/>
    </row>
    <row r="183" spans="1:29" ht="16.5" thickTop="1" thickBot="1" x14ac:dyDescent="0.3">
      <c r="A183" s="460">
        <v>2</v>
      </c>
      <c r="B183" s="460" t="s">
        <v>1354</v>
      </c>
      <c r="C183" s="460" t="s">
        <v>1390</v>
      </c>
      <c r="D183" s="460" t="s">
        <v>1345</v>
      </c>
      <c r="E183" s="467"/>
      <c r="F183" s="467"/>
      <c r="G183" s="465"/>
      <c r="H183" s="465" t="s">
        <v>1758</v>
      </c>
      <c r="I183" s="468">
        <f>+I184</f>
        <v>80000000</v>
      </c>
      <c r="J183" s="468">
        <f t="shared" ref="J183:X185" si="69">+J184</f>
        <v>80000000</v>
      </c>
      <c r="K183" s="468">
        <f t="shared" si="69"/>
        <v>14545455</v>
      </c>
      <c r="L183" s="468">
        <f t="shared" si="69"/>
        <v>14545455</v>
      </c>
      <c r="M183" s="468">
        <f t="shared" si="69"/>
        <v>0</v>
      </c>
      <c r="N183" s="468">
        <f t="shared" si="69"/>
        <v>0</v>
      </c>
      <c r="O183" s="468">
        <f t="shared" si="69"/>
        <v>0</v>
      </c>
      <c r="P183" s="468">
        <f t="shared" si="69"/>
        <v>0</v>
      </c>
      <c r="Q183" s="468">
        <f t="shared" si="69"/>
        <v>0</v>
      </c>
      <c r="R183" s="468">
        <f t="shared" si="69"/>
        <v>0</v>
      </c>
      <c r="S183" s="468">
        <f t="shared" si="69"/>
        <v>0</v>
      </c>
      <c r="T183" s="468">
        <f t="shared" si="69"/>
        <v>0</v>
      </c>
      <c r="U183" s="468">
        <f t="shared" si="69"/>
        <v>0</v>
      </c>
      <c r="V183" s="468">
        <f t="shared" si="69"/>
        <v>0</v>
      </c>
      <c r="W183" s="468">
        <f t="shared" si="69"/>
        <v>0</v>
      </c>
      <c r="X183" s="468">
        <f t="shared" si="69"/>
        <v>0</v>
      </c>
      <c r="Y183" s="791">
        <f t="shared" si="65"/>
        <v>80000000</v>
      </c>
      <c r="Z183" s="791">
        <f t="shared" si="65"/>
        <v>80000000</v>
      </c>
      <c r="AA183" s="791">
        <f t="shared" si="65"/>
        <v>14545455</v>
      </c>
      <c r="AB183" s="791">
        <f t="shared" si="65"/>
        <v>14545455</v>
      </c>
      <c r="AC183" s="453"/>
    </row>
    <row r="184" spans="1:29" ht="16.5" thickTop="1" thickBot="1" x14ac:dyDescent="0.3">
      <c r="A184" s="460">
        <v>2</v>
      </c>
      <c r="B184" s="460" t="s">
        <v>1354</v>
      </c>
      <c r="C184" s="460" t="s">
        <v>1390</v>
      </c>
      <c r="D184" s="460" t="s">
        <v>1345</v>
      </c>
      <c r="E184" s="460" t="s">
        <v>1345</v>
      </c>
      <c r="F184" s="460"/>
      <c r="G184" s="460"/>
      <c r="H184" s="465" t="s">
        <v>1447</v>
      </c>
      <c r="I184" s="461">
        <f>+I185</f>
        <v>80000000</v>
      </c>
      <c r="J184" s="461">
        <f t="shared" si="69"/>
        <v>80000000</v>
      </c>
      <c r="K184" s="461">
        <f t="shared" si="69"/>
        <v>14545455</v>
      </c>
      <c r="L184" s="461">
        <f t="shared" si="69"/>
        <v>14545455</v>
      </c>
      <c r="M184" s="461">
        <f t="shared" si="69"/>
        <v>0</v>
      </c>
      <c r="N184" s="461">
        <f t="shared" si="69"/>
        <v>0</v>
      </c>
      <c r="O184" s="461">
        <f t="shared" si="69"/>
        <v>0</v>
      </c>
      <c r="P184" s="461">
        <f t="shared" si="69"/>
        <v>0</v>
      </c>
      <c r="Q184" s="461">
        <f t="shared" si="69"/>
        <v>0</v>
      </c>
      <c r="R184" s="461">
        <f t="shared" si="69"/>
        <v>0</v>
      </c>
      <c r="S184" s="461">
        <f t="shared" si="69"/>
        <v>0</v>
      </c>
      <c r="T184" s="461">
        <f t="shared" si="69"/>
        <v>0</v>
      </c>
      <c r="U184" s="461">
        <f t="shared" si="69"/>
        <v>0</v>
      </c>
      <c r="V184" s="461">
        <f t="shared" si="69"/>
        <v>0</v>
      </c>
      <c r="W184" s="461">
        <f t="shared" si="69"/>
        <v>0</v>
      </c>
      <c r="X184" s="461">
        <f t="shared" si="69"/>
        <v>0</v>
      </c>
      <c r="Y184" s="791">
        <f t="shared" si="65"/>
        <v>80000000</v>
      </c>
      <c r="Z184" s="791">
        <f t="shared" si="65"/>
        <v>80000000</v>
      </c>
      <c r="AA184" s="791">
        <f t="shared" si="65"/>
        <v>14545455</v>
      </c>
      <c r="AB184" s="791">
        <f t="shared" si="65"/>
        <v>14545455</v>
      </c>
      <c r="AC184" s="453"/>
    </row>
    <row r="185" spans="1:29" ht="16.5" thickTop="1" thickBot="1" x14ac:dyDescent="0.3">
      <c r="A185" s="456">
        <v>2</v>
      </c>
      <c r="B185" s="456" t="s">
        <v>1354</v>
      </c>
      <c r="C185" s="456" t="s">
        <v>1390</v>
      </c>
      <c r="D185" s="456" t="s">
        <v>1345</v>
      </c>
      <c r="E185" s="457" t="s">
        <v>1345</v>
      </c>
      <c r="F185" s="457" t="s">
        <v>1345</v>
      </c>
      <c r="G185" s="456"/>
      <c r="H185" s="466" t="s">
        <v>1448</v>
      </c>
      <c r="I185" s="505">
        <f>SUM(I186:I186)</f>
        <v>80000000</v>
      </c>
      <c r="J185" s="505">
        <f>SUM(J186:J186)</f>
        <v>80000000</v>
      </c>
      <c r="K185" s="505">
        <f>SUM(K186:K186)</f>
        <v>14545455</v>
      </c>
      <c r="L185" s="505">
        <f>SUM(L186:L186)</f>
        <v>14545455</v>
      </c>
      <c r="M185" s="505">
        <f>SUM(M186:M186)</f>
        <v>0</v>
      </c>
      <c r="N185" s="505">
        <f t="shared" si="69"/>
        <v>0</v>
      </c>
      <c r="O185" s="505">
        <f t="shared" si="69"/>
        <v>0</v>
      </c>
      <c r="P185" s="505">
        <f t="shared" si="69"/>
        <v>0</v>
      </c>
      <c r="Q185" s="505">
        <f t="shared" si="69"/>
        <v>0</v>
      </c>
      <c r="R185" s="505">
        <f t="shared" si="69"/>
        <v>0</v>
      </c>
      <c r="S185" s="505">
        <f t="shared" si="69"/>
        <v>0</v>
      </c>
      <c r="T185" s="505">
        <f t="shared" si="69"/>
        <v>0</v>
      </c>
      <c r="U185" s="505">
        <f t="shared" si="69"/>
        <v>0</v>
      </c>
      <c r="V185" s="505">
        <f t="shared" si="69"/>
        <v>0</v>
      </c>
      <c r="W185" s="505">
        <f t="shared" si="69"/>
        <v>0</v>
      </c>
      <c r="X185" s="505">
        <f t="shared" si="69"/>
        <v>0</v>
      </c>
      <c r="Y185" s="787">
        <f t="shared" si="65"/>
        <v>80000000</v>
      </c>
      <c r="Z185" s="787">
        <f t="shared" si="65"/>
        <v>80000000</v>
      </c>
      <c r="AA185" s="787">
        <f t="shared" si="65"/>
        <v>14545455</v>
      </c>
      <c r="AB185" s="787">
        <f t="shared" si="65"/>
        <v>14545455</v>
      </c>
      <c r="AC185" s="453"/>
    </row>
    <row r="186" spans="1:29" ht="16.5" thickTop="1" thickBot="1" x14ac:dyDescent="0.3">
      <c r="A186" s="456">
        <v>2</v>
      </c>
      <c r="B186" s="456" t="s">
        <v>1354</v>
      </c>
      <c r="C186" s="456" t="s">
        <v>1390</v>
      </c>
      <c r="D186" s="456" t="s">
        <v>1345</v>
      </c>
      <c r="E186" s="457" t="s">
        <v>1345</v>
      </c>
      <c r="F186" s="457" t="s">
        <v>1345</v>
      </c>
      <c r="G186" s="457" t="s">
        <v>1345</v>
      </c>
      <c r="H186" s="466" t="s">
        <v>2555</v>
      </c>
      <c r="I186" s="459">
        <v>80000000</v>
      </c>
      <c r="J186" s="459">
        <v>80000000</v>
      </c>
      <c r="K186" s="459">
        <v>14545455</v>
      </c>
      <c r="L186" s="459">
        <v>14545455</v>
      </c>
      <c r="M186" s="459">
        <v>0</v>
      </c>
      <c r="N186" s="458"/>
      <c r="O186" s="458"/>
      <c r="P186" s="458"/>
      <c r="Q186" s="458"/>
      <c r="R186" s="458"/>
      <c r="S186" s="458"/>
      <c r="T186" s="458"/>
      <c r="U186" s="458"/>
      <c r="V186" s="458"/>
      <c r="W186" s="458"/>
      <c r="X186" s="458"/>
      <c r="Y186" s="787">
        <f t="shared" si="65"/>
        <v>80000000</v>
      </c>
      <c r="Z186" s="787">
        <f t="shared" si="65"/>
        <v>80000000</v>
      </c>
      <c r="AA186" s="787">
        <f t="shared" si="65"/>
        <v>14545455</v>
      </c>
      <c r="AB186" s="787">
        <f t="shared" si="65"/>
        <v>14545455</v>
      </c>
      <c r="AC186" s="453"/>
    </row>
    <row r="187" spans="1:29" ht="16.5" thickTop="1" thickBot="1" x14ac:dyDescent="0.3">
      <c r="A187" s="460">
        <v>2</v>
      </c>
      <c r="B187" s="460" t="s">
        <v>1354</v>
      </c>
      <c r="C187" s="460" t="s">
        <v>1390</v>
      </c>
      <c r="D187" s="460" t="s">
        <v>1350</v>
      </c>
      <c r="E187" s="467"/>
      <c r="F187" s="467"/>
      <c r="G187" s="465"/>
      <c r="H187" s="465" t="s">
        <v>1759</v>
      </c>
      <c r="I187" s="468">
        <f>+I188</f>
        <v>525000000</v>
      </c>
      <c r="J187" s="468">
        <f t="shared" ref="J187:X189" si="70">+J188</f>
        <v>254352381</v>
      </c>
      <c r="K187" s="468">
        <f t="shared" si="70"/>
        <v>243393157</v>
      </c>
      <c r="L187" s="468">
        <f t="shared" si="70"/>
        <v>243393157</v>
      </c>
      <c r="M187" s="468">
        <f t="shared" si="70"/>
        <v>0</v>
      </c>
      <c r="N187" s="468">
        <f t="shared" si="70"/>
        <v>0</v>
      </c>
      <c r="O187" s="468">
        <f t="shared" si="70"/>
        <v>0</v>
      </c>
      <c r="P187" s="468">
        <f t="shared" si="70"/>
        <v>0</v>
      </c>
      <c r="Q187" s="468">
        <f t="shared" si="70"/>
        <v>0</v>
      </c>
      <c r="R187" s="468">
        <f t="shared" si="70"/>
        <v>0</v>
      </c>
      <c r="S187" s="468">
        <f t="shared" si="70"/>
        <v>0</v>
      </c>
      <c r="T187" s="468">
        <f t="shared" si="70"/>
        <v>0</v>
      </c>
      <c r="U187" s="468">
        <f t="shared" si="70"/>
        <v>0</v>
      </c>
      <c r="V187" s="468">
        <f t="shared" si="70"/>
        <v>0</v>
      </c>
      <c r="W187" s="468">
        <f t="shared" si="70"/>
        <v>0</v>
      </c>
      <c r="X187" s="468">
        <f t="shared" si="70"/>
        <v>0</v>
      </c>
      <c r="Y187" s="791">
        <f t="shared" ref="Y187:AB199" si="71">+I187+M187+Q187+U187</f>
        <v>525000000</v>
      </c>
      <c r="Z187" s="791">
        <f t="shared" si="71"/>
        <v>254352381</v>
      </c>
      <c r="AA187" s="791">
        <f t="shared" si="71"/>
        <v>243393157</v>
      </c>
      <c r="AB187" s="791">
        <f t="shared" si="71"/>
        <v>243393157</v>
      </c>
      <c r="AC187" s="453"/>
    </row>
    <row r="188" spans="1:29" ht="16.5" thickTop="1" thickBot="1" x14ac:dyDescent="0.3">
      <c r="A188" s="460">
        <v>2</v>
      </c>
      <c r="B188" s="460" t="s">
        <v>1354</v>
      </c>
      <c r="C188" s="460" t="s">
        <v>1390</v>
      </c>
      <c r="D188" s="460" t="s">
        <v>1350</v>
      </c>
      <c r="E188" s="460" t="s">
        <v>1345</v>
      </c>
      <c r="F188" s="460"/>
      <c r="G188" s="460"/>
      <c r="H188" s="465" t="s">
        <v>1447</v>
      </c>
      <c r="I188" s="461">
        <f>+I189</f>
        <v>525000000</v>
      </c>
      <c r="J188" s="461">
        <f t="shared" si="70"/>
        <v>254352381</v>
      </c>
      <c r="K188" s="461">
        <f t="shared" si="70"/>
        <v>243393157</v>
      </c>
      <c r="L188" s="461">
        <f t="shared" si="70"/>
        <v>243393157</v>
      </c>
      <c r="M188" s="461">
        <f t="shared" si="70"/>
        <v>0</v>
      </c>
      <c r="N188" s="461">
        <f t="shared" si="70"/>
        <v>0</v>
      </c>
      <c r="O188" s="461">
        <f t="shared" si="70"/>
        <v>0</v>
      </c>
      <c r="P188" s="461">
        <f t="shared" si="70"/>
        <v>0</v>
      </c>
      <c r="Q188" s="461">
        <f t="shared" si="70"/>
        <v>0</v>
      </c>
      <c r="R188" s="461">
        <f t="shared" si="70"/>
        <v>0</v>
      </c>
      <c r="S188" s="461">
        <f t="shared" si="70"/>
        <v>0</v>
      </c>
      <c r="T188" s="461">
        <f t="shared" si="70"/>
        <v>0</v>
      </c>
      <c r="U188" s="461">
        <f t="shared" si="70"/>
        <v>0</v>
      </c>
      <c r="V188" s="461">
        <f t="shared" si="70"/>
        <v>0</v>
      </c>
      <c r="W188" s="461">
        <f t="shared" si="70"/>
        <v>0</v>
      </c>
      <c r="X188" s="461">
        <f t="shared" si="70"/>
        <v>0</v>
      </c>
      <c r="Y188" s="791">
        <f t="shared" si="71"/>
        <v>525000000</v>
      </c>
      <c r="Z188" s="791">
        <f t="shared" si="71"/>
        <v>254352381</v>
      </c>
      <c r="AA188" s="791">
        <f t="shared" si="71"/>
        <v>243393157</v>
      </c>
      <c r="AB188" s="791">
        <f t="shared" si="71"/>
        <v>243393157</v>
      </c>
      <c r="AC188" s="453"/>
    </row>
    <row r="189" spans="1:29" ht="16.5" thickTop="1" thickBot="1" x14ac:dyDescent="0.3">
      <c r="A189" s="456">
        <v>2</v>
      </c>
      <c r="B189" s="456" t="s">
        <v>1354</v>
      </c>
      <c r="C189" s="456" t="s">
        <v>1390</v>
      </c>
      <c r="D189" s="457" t="s">
        <v>1350</v>
      </c>
      <c r="E189" s="457" t="s">
        <v>1345</v>
      </c>
      <c r="F189" s="457" t="s">
        <v>1345</v>
      </c>
      <c r="G189" s="456"/>
      <c r="H189" s="466" t="s">
        <v>1448</v>
      </c>
      <c r="I189" s="505">
        <f>SUM(I190:I190)</f>
        <v>525000000</v>
      </c>
      <c r="J189" s="505">
        <f>SUM(J190:J190)</f>
        <v>254352381</v>
      </c>
      <c r="K189" s="505">
        <f>SUM(K190:K190)</f>
        <v>243393157</v>
      </c>
      <c r="L189" s="505">
        <f>SUM(L190:L190)</f>
        <v>243393157</v>
      </c>
      <c r="M189" s="505">
        <f t="shared" si="70"/>
        <v>0</v>
      </c>
      <c r="N189" s="505">
        <f t="shared" si="70"/>
        <v>0</v>
      </c>
      <c r="O189" s="505">
        <f t="shared" si="70"/>
        <v>0</v>
      </c>
      <c r="P189" s="505">
        <f t="shared" si="70"/>
        <v>0</v>
      </c>
      <c r="Q189" s="505">
        <f t="shared" si="70"/>
        <v>0</v>
      </c>
      <c r="R189" s="505">
        <f t="shared" si="70"/>
        <v>0</v>
      </c>
      <c r="S189" s="505">
        <f t="shared" si="70"/>
        <v>0</v>
      </c>
      <c r="T189" s="505">
        <f t="shared" si="70"/>
        <v>0</v>
      </c>
      <c r="U189" s="505">
        <f t="shared" si="70"/>
        <v>0</v>
      </c>
      <c r="V189" s="505">
        <f t="shared" si="70"/>
        <v>0</v>
      </c>
      <c r="W189" s="505">
        <f t="shared" si="70"/>
        <v>0</v>
      </c>
      <c r="X189" s="505">
        <f t="shared" si="70"/>
        <v>0</v>
      </c>
      <c r="Y189" s="787">
        <f t="shared" si="71"/>
        <v>525000000</v>
      </c>
      <c r="Z189" s="787">
        <f t="shared" si="71"/>
        <v>254352381</v>
      </c>
      <c r="AA189" s="787">
        <f t="shared" si="71"/>
        <v>243393157</v>
      </c>
      <c r="AB189" s="787">
        <f t="shared" si="71"/>
        <v>243393157</v>
      </c>
      <c r="AC189" s="453"/>
    </row>
    <row r="190" spans="1:29" ht="16.5" thickTop="1" thickBot="1" x14ac:dyDescent="0.3">
      <c r="A190" s="456">
        <v>2</v>
      </c>
      <c r="B190" s="456" t="s">
        <v>1354</v>
      </c>
      <c r="C190" s="456" t="s">
        <v>1390</v>
      </c>
      <c r="D190" s="457" t="s">
        <v>1350</v>
      </c>
      <c r="E190" s="457" t="s">
        <v>1345</v>
      </c>
      <c r="F190" s="457" t="s">
        <v>1345</v>
      </c>
      <c r="G190" s="457" t="s">
        <v>1345</v>
      </c>
      <c r="H190" s="466" t="s">
        <v>2556</v>
      </c>
      <c r="I190" s="458">
        <v>525000000</v>
      </c>
      <c r="J190" s="458">
        <v>254352381</v>
      </c>
      <c r="K190" s="458">
        <v>243393157</v>
      </c>
      <c r="L190" s="458">
        <v>243393157</v>
      </c>
      <c r="M190" s="458"/>
      <c r="N190" s="458"/>
      <c r="O190" s="458"/>
      <c r="P190" s="458"/>
      <c r="Q190" s="458"/>
      <c r="R190" s="458"/>
      <c r="S190" s="458"/>
      <c r="T190" s="458"/>
      <c r="U190" s="458"/>
      <c r="V190" s="458"/>
      <c r="W190" s="458"/>
      <c r="X190" s="458"/>
      <c r="Y190" s="787">
        <f t="shared" si="71"/>
        <v>525000000</v>
      </c>
      <c r="Z190" s="787">
        <f t="shared" si="71"/>
        <v>254352381</v>
      </c>
      <c r="AA190" s="787">
        <f t="shared" si="71"/>
        <v>243393157</v>
      </c>
      <c r="AB190" s="787">
        <f t="shared" si="71"/>
        <v>243393157</v>
      </c>
      <c r="AC190" s="453"/>
    </row>
    <row r="191" spans="1:29" ht="16.5" thickTop="1" thickBot="1" x14ac:dyDescent="0.3">
      <c r="A191" s="460">
        <v>2</v>
      </c>
      <c r="B191" s="460" t="s">
        <v>1354</v>
      </c>
      <c r="C191" s="460" t="s">
        <v>1390</v>
      </c>
      <c r="D191" s="460" t="s">
        <v>1354</v>
      </c>
      <c r="E191" s="467"/>
      <c r="F191" s="467"/>
      <c r="G191" s="465"/>
      <c r="H191" s="465" t="s">
        <v>2557</v>
      </c>
      <c r="I191" s="468">
        <f>+I192</f>
        <v>935000000</v>
      </c>
      <c r="J191" s="468">
        <f>+J192</f>
        <v>906277079</v>
      </c>
      <c r="K191" s="468">
        <f>+K192</f>
        <v>899777079</v>
      </c>
      <c r="L191" s="468">
        <f>+L192</f>
        <v>897777079</v>
      </c>
      <c r="M191" s="468">
        <f t="shared" ref="M191:X191" si="72">+M192</f>
        <v>0</v>
      </c>
      <c r="N191" s="468">
        <f t="shared" si="72"/>
        <v>0</v>
      </c>
      <c r="O191" s="468">
        <f t="shared" si="72"/>
        <v>0</v>
      </c>
      <c r="P191" s="468">
        <f t="shared" si="72"/>
        <v>0</v>
      </c>
      <c r="Q191" s="468">
        <f t="shared" si="72"/>
        <v>0</v>
      </c>
      <c r="R191" s="468">
        <f t="shared" si="72"/>
        <v>0</v>
      </c>
      <c r="S191" s="468">
        <f t="shared" si="72"/>
        <v>0</v>
      </c>
      <c r="T191" s="468">
        <f t="shared" si="72"/>
        <v>0</v>
      </c>
      <c r="U191" s="468">
        <f t="shared" si="72"/>
        <v>0</v>
      </c>
      <c r="V191" s="468">
        <f t="shared" si="72"/>
        <v>0</v>
      </c>
      <c r="W191" s="468">
        <f t="shared" si="72"/>
        <v>0</v>
      </c>
      <c r="X191" s="468">
        <f t="shared" si="72"/>
        <v>0</v>
      </c>
      <c r="Y191" s="791">
        <f t="shared" si="71"/>
        <v>935000000</v>
      </c>
      <c r="Z191" s="791">
        <f t="shared" si="71"/>
        <v>906277079</v>
      </c>
      <c r="AA191" s="791">
        <f t="shared" si="71"/>
        <v>899777079</v>
      </c>
      <c r="AB191" s="791">
        <f t="shared" si="71"/>
        <v>897777079</v>
      </c>
      <c r="AC191" s="453"/>
    </row>
    <row r="192" spans="1:29" ht="16.5" thickTop="1" thickBot="1" x14ac:dyDescent="0.3">
      <c r="A192" s="460">
        <v>2</v>
      </c>
      <c r="B192" s="460" t="s">
        <v>1354</v>
      </c>
      <c r="C192" s="460" t="s">
        <v>1390</v>
      </c>
      <c r="D192" s="460" t="s">
        <v>1354</v>
      </c>
      <c r="E192" s="460" t="s">
        <v>1345</v>
      </c>
      <c r="F192" s="460"/>
      <c r="G192" s="460"/>
      <c r="H192" s="465" t="s">
        <v>1447</v>
      </c>
      <c r="I192" s="461">
        <f>+I193</f>
        <v>935000000</v>
      </c>
      <c r="J192" s="461">
        <f t="shared" ref="J192:X193" si="73">+J193</f>
        <v>906277079</v>
      </c>
      <c r="K192" s="461">
        <f t="shared" si="73"/>
        <v>899777079</v>
      </c>
      <c r="L192" s="461">
        <f t="shared" si="73"/>
        <v>897777079</v>
      </c>
      <c r="M192" s="461">
        <f t="shared" si="73"/>
        <v>0</v>
      </c>
      <c r="N192" s="461">
        <f t="shared" si="73"/>
        <v>0</v>
      </c>
      <c r="O192" s="461">
        <f t="shared" si="73"/>
        <v>0</v>
      </c>
      <c r="P192" s="461">
        <f t="shared" si="73"/>
        <v>0</v>
      </c>
      <c r="Q192" s="461">
        <f t="shared" si="73"/>
        <v>0</v>
      </c>
      <c r="R192" s="461">
        <f t="shared" si="73"/>
        <v>0</v>
      </c>
      <c r="S192" s="461">
        <f t="shared" si="73"/>
        <v>0</v>
      </c>
      <c r="T192" s="461">
        <f t="shared" si="73"/>
        <v>0</v>
      </c>
      <c r="U192" s="461">
        <f t="shared" si="73"/>
        <v>0</v>
      </c>
      <c r="V192" s="461">
        <f t="shared" si="73"/>
        <v>0</v>
      </c>
      <c r="W192" s="461">
        <f t="shared" si="73"/>
        <v>0</v>
      </c>
      <c r="X192" s="461">
        <f t="shared" si="73"/>
        <v>0</v>
      </c>
      <c r="Y192" s="791">
        <f t="shared" si="71"/>
        <v>935000000</v>
      </c>
      <c r="Z192" s="791">
        <f t="shared" si="71"/>
        <v>906277079</v>
      </c>
      <c r="AA192" s="791">
        <f t="shared" si="71"/>
        <v>899777079</v>
      </c>
      <c r="AB192" s="791">
        <f t="shared" si="71"/>
        <v>897777079</v>
      </c>
      <c r="AC192" s="453"/>
    </row>
    <row r="193" spans="1:29" ht="16.5" thickTop="1" thickBot="1" x14ac:dyDescent="0.3">
      <c r="A193" s="456">
        <v>2</v>
      </c>
      <c r="B193" s="456" t="s">
        <v>1354</v>
      </c>
      <c r="C193" s="456" t="s">
        <v>1390</v>
      </c>
      <c r="D193" s="457" t="s">
        <v>1354</v>
      </c>
      <c r="E193" s="457" t="s">
        <v>1345</v>
      </c>
      <c r="F193" s="457" t="s">
        <v>1345</v>
      </c>
      <c r="G193" s="456"/>
      <c r="H193" s="466" t="s">
        <v>1448</v>
      </c>
      <c r="I193" s="505">
        <f>SUM(I194:I194)</f>
        <v>935000000</v>
      </c>
      <c r="J193" s="505">
        <f>SUM(J194:J194)</f>
        <v>906277079</v>
      </c>
      <c r="K193" s="505">
        <f>SUM(K194:K194)</f>
        <v>899777079</v>
      </c>
      <c r="L193" s="505">
        <f>SUM(L194:L194)</f>
        <v>897777079</v>
      </c>
      <c r="M193" s="505">
        <f t="shared" si="73"/>
        <v>0</v>
      </c>
      <c r="N193" s="505">
        <f t="shared" si="73"/>
        <v>0</v>
      </c>
      <c r="O193" s="505">
        <f t="shared" si="73"/>
        <v>0</v>
      </c>
      <c r="P193" s="505">
        <f t="shared" si="73"/>
        <v>0</v>
      </c>
      <c r="Q193" s="505">
        <f t="shared" si="73"/>
        <v>0</v>
      </c>
      <c r="R193" s="505">
        <f t="shared" si="73"/>
        <v>0</v>
      </c>
      <c r="S193" s="505">
        <f t="shared" si="73"/>
        <v>0</v>
      </c>
      <c r="T193" s="505">
        <f t="shared" si="73"/>
        <v>0</v>
      </c>
      <c r="U193" s="505">
        <f t="shared" si="73"/>
        <v>0</v>
      </c>
      <c r="V193" s="505">
        <f t="shared" si="73"/>
        <v>0</v>
      </c>
      <c r="W193" s="505">
        <f t="shared" si="73"/>
        <v>0</v>
      </c>
      <c r="X193" s="505">
        <f t="shared" si="73"/>
        <v>0</v>
      </c>
      <c r="Y193" s="787">
        <f t="shared" si="71"/>
        <v>935000000</v>
      </c>
      <c r="Z193" s="787">
        <f t="shared" si="71"/>
        <v>906277079</v>
      </c>
      <c r="AA193" s="787">
        <f t="shared" si="71"/>
        <v>899777079</v>
      </c>
      <c r="AB193" s="787">
        <f t="shared" si="71"/>
        <v>897777079</v>
      </c>
      <c r="AC193" s="453"/>
    </row>
    <row r="194" spans="1:29" ht="16.5" thickTop="1" thickBot="1" x14ac:dyDescent="0.3">
      <c r="A194" s="456">
        <v>2</v>
      </c>
      <c r="B194" s="456" t="s">
        <v>1354</v>
      </c>
      <c r="C194" s="456" t="s">
        <v>1390</v>
      </c>
      <c r="D194" s="457" t="s">
        <v>1354</v>
      </c>
      <c r="E194" s="457" t="s">
        <v>1345</v>
      </c>
      <c r="F194" s="457" t="s">
        <v>1345</v>
      </c>
      <c r="G194" s="457" t="s">
        <v>1345</v>
      </c>
      <c r="H194" s="466" t="s">
        <v>2558</v>
      </c>
      <c r="I194" s="459">
        <v>935000000</v>
      </c>
      <c r="J194" s="458">
        <v>906277079</v>
      </c>
      <c r="K194" s="458">
        <v>899777079</v>
      </c>
      <c r="L194" s="458">
        <v>897777079</v>
      </c>
      <c r="M194" s="458"/>
      <c r="N194" s="458"/>
      <c r="O194" s="458"/>
      <c r="P194" s="458"/>
      <c r="Q194" s="458"/>
      <c r="R194" s="458"/>
      <c r="S194" s="458"/>
      <c r="T194" s="458"/>
      <c r="U194" s="458"/>
      <c r="V194" s="458"/>
      <c r="W194" s="458"/>
      <c r="X194" s="458"/>
      <c r="Y194" s="787">
        <f t="shared" si="71"/>
        <v>935000000</v>
      </c>
      <c r="Z194" s="787">
        <f t="shared" si="71"/>
        <v>906277079</v>
      </c>
      <c r="AA194" s="787">
        <f t="shared" si="71"/>
        <v>899777079</v>
      </c>
      <c r="AB194" s="787">
        <f t="shared" si="71"/>
        <v>897777079</v>
      </c>
      <c r="AC194" s="453"/>
    </row>
    <row r="195" spans="1:29" ht="16.5" thickTop="1" thickBot="1" x14ac:dyDescent="0.3">
      <c r="A195" s="460">
        <v>2</v>
      </c>
      <c r="B195" s="460" t="s">
        <v>1354</v>
      </c>
      <c r="C195" s="460" t="s">
        <v>1390</v>
      </c>
      <c r="D195" s="460" t="s">
        <v>1354</v>
      </c>
      <c r="E195" s="467"/>
      <c r="F195" s="467"/>
      <c r="G195" s="465"/>
      <c r="H195" s="465" t="s">
        <v>2588</v>
      </c>
      <c r="I195" s="468">
        <f>+I196</f>
        <v>140000000</v>
      </c>
      <c r="J195" s="468">
        <f t="shared" ref="J195:X197" si="74">+J196</f>
        <v>120999000</v>
      </c>
      <c r="K195" s="468">
        <f t="shared" si="74"/>
        <v>120999000</v>
      </c>
      <c r="L195" s="468">
        <f t="shared" si="74"/>
        <v>120999000</v>
      </c>
      <c r="M195" s="468">
        <f t="shared" si="74"/>
        <v>0</v>
      </c>
      <c r="N195" s="468">
        <f t="shared" si="74"/>
        <v>0</v>
      </c>
      <c r="O195" s="468">
        <f t="shared" si="74"/>
        <v>0</v>
      </c>
      <c r="P195" s="468">
        <f t="shared" si="74"/>
        <v>0</v>
      </c>
      <c r="Q195" s="468">
        <f t="shared" si="74"/>
        <v>0</v>
      </c>
      <c r="R195" s="468">
        <f t="shared" si="74"/>
        <v>0</v>
      </c>
      <c r="S195" s="468">
        <f t="shared" si="74"/>
        <v>0</v>
      </c>
      <c r="T195" s="468">
        <f t="shared" si="74"/>
        <v>0</v>
      </c>
      <c r="U195" s="468">
        <f t="shared" si="74"/>
        <v>0</v>
      </c>
      <c r="V195" s="468">
        <f t="shared" si="74"/>
        <v>0</v>
      </c>
      <c r="W195" s="468">
        <f t="shared" si="74"/>
        <v>0</v>
      </c>
      <c r="X195" s="468">
        <f t="shared" si="74"/>
        <v>0</v>
      </c>
      <c r="Y195" s="791">
        <f t="shared" si="71"/>
        <v>140000000</v>
      </c>
      <c r="Z195" s="791">
        <f t="shared" si="71"/>
        <v>120999000</v>
      </c>
      <c r="AA195" s="791">
        <f t="shared" si="71"/>
        <v>120999000</v>
      </c>
      <c r="AB195" s="791">
        <f t="shared" si="71"/>
        <v>120999000</v>
      </c>
      <c r="AC195" s="453"/>
    </row>
    <row r="196" spans="1:29" ht="16.5" thickTop="1" thickBot="1" x14ac:dyDescent="0.3">
      <c r="A196" s="460">
        <v>2</v>
      </c>
      <c r="B196" s="460" t="s">
        <v>1354</v>
      </c>
      <c r="C196" s="460" t="s">
        <v>1390</v>
      </c>
      <c r="D196" s="460" t="s">
        <v>1354</v>
      </c>
      <c r="E196" s="460" t="s">
        <v>1345</v>
      </c>
      <c r="F196" s="460"/>
      <c r="G196" s="460"/>
      <c r="H196" s="465" t="s">
        <v>1447</v>
      </c>
      <c r="I196" s="461">
        <f>+I197</f>
        <v>140000000</v>
      </c>
      <c r="J196" s="461">
        <f t="shared" si="74"/>
        <v>120999000</v>
      </c>
      <c r="K196" s="461">
        <f t="shared" si="74"/>
        <v>120999000</v>
      </c>
      <c r="L196" s="461">
        <f t="shared" si="74"/>
        <v>120999000</v>
      </c>
      <c r="M196" s="461">
        <f t="shared" si="74"/>
        <v>0</v>
      </c>
      <c r="N196" s="461">
        <f t="shared" si="74"/>
        <v>0</v>
      </c>
      <c r="O196" s="461">
        <f t="shared" si="74"/>
        <v>0</v>
      </c>
      <c r="P196" s="461">
        <f t="shared" si="74"/>
        <v>0</v>
      </c>
      <c r="Q196" s="461">
        <f t="shared" si="74"/>
        <v>0</v>
      </c>
      <c r="R196" s="461">
        <f t="shared" si="74"/>
        <v>0</v>
      </c>
      <c r="S196" s="461">
        <f t="shared" si="74"/>
        <v>0</v>
      </c>
      <c r="T196" s="461">
        <f t="shared" si="74"/>
        <v>0</v>
      </c>
      <c r="U196" s="461">
        <f t="shared" si="74"/>
        <v>0</v>
      </c>
      <c r="V196" s="461">
        <f t="shared" si="74"/>
        <v>0</v>
      </c>
      <c r="W196" s="461">
        <f t="shared" si="74"/>
        <v>0</v>
      </c>
      <c r="X196" s="461">
        <f t="shared" si="74"/>
        <v>0</v>
      </c>
      <c r="Y196" s="791">
        <f t="shared" si="71"/>
        <v>140000000</v>
      </c>
      <c r="Z196" s="791">
        <f t="shared" si="71"/>
        <v>120999000</v>
      </c>
      <c r="AA196" s="791">
        <f t="shared" si="71"/>
        <v>120999000</v>
      </c>
      <c r="AB196" s="791">
        <f t="shared" si="71"/>
        <v>120999000</v>
      </c>
      <c r="AC196" s="453"/>
    </row>
    <row r="197" spans="1:29" ht="16.5" thickTop="1" thickBot="1" x14ac:dyDescent="0.3">
      <c r="A197" s="456">
        <v>2</v>
      </c>
      <c r="B197" s="456" t="s">
        <v>1354</v>
      </c>
      <c r="C197" s="456" t="s">
        <v>1390</v>
      </c>
      <c r="D197" s="457" t="s">
        <v>1354</v>
      </c>
      <c r="E197" s="457" t="s">
        <v>1345</v>
      </c>
      <c r="F197" s="457" t="s">
        <v>1345</v>
      </c>
      <c r="G197" s="456"/>
      <c r="H197" s="466" t="s">
        <v>1448</v>
      </c>
      <c r="I197" s="505">
        <f>SUM(I198:I198)</f>
        <v>140000000</v>
      </c>
      <c r="J197" s="505">
        <f>SUM(J198:J198)</f>
        <v>120999000</v>
      </c>
      <c r="K197" s="505">
        <f>SUM(K198:K198)</f>
        <v>120999000</v>
      </c>
      <c r="L197" s="505">
        <f>SUM(L198:L198)</f>
        <v>120999000</v>
      </c>
      <c r="M197" s="505">
        <f>SUM(M198:M198)</f>
        <v>0</v>
      </c>
      <c r="N197" s="505">
        <f t="shared" si="74"/>
        <v>0</v>
      </c>
      <c r="O197" s="505">
        <f t="shared" si="74"/>
        <v>0</v>
      </c>
      <c r="P197" s="505">
        <f t="shared" si="74"/>
        <v>0</v>
      </c>
      <c r="Q197" s="505">
        <f t="shared" si="74"/>
        <v>0</v>
      </c>
      <c r="R197" s="505">
        <f t="shared" si="74"/>
        <v>0</v>
      </c>
      <c r="S197" s="505">
        <f t="shared" si="74"/>
        <v>0</v>
      </c>
      <c r="T197" s="505">
        <f t="shared" si="74"/>
        <v>0</v>
      </c>
      <c r="U197" s="505">
        <f t="shared" si="74"/>
        <v>0</v>
      </c>
      <c r="V197" s="505">
        <f t="shared" si="74"/>
        <v>0</v>
      </c>
      <c r="W197" s="505">
        <f t="shared" si="74"/>
        <v>0</v>
      </c>
      <c r="X197" s="505">
        <f t="shared" si="74"/>
        <v>0</v>
      </c>
      <c r="Y197" s="787">
        <f t="shared" si="71"/>
        <v>140000000</v>
      </c>
      <c r="Z197" s="787">
        <f t="shared" si="71"/>
        <v>120999000</v>
      </c>
      <c r="AA197" s="787">
        <f t="shared" si="71"/>
        <v>120999000</v>
      </c>
      <c r="AB197" s="787">
        <f t="shared" si="71"/>
        <v>120999000</v>
      </c>
      <c r="AC197" s="453"/>
    </row>
    <row r="198" spans="1:29" ht="16.5" thickTop="1" thickBot="1" x14ac:dyDescent="0.3">
      <c r="A198" s="456">
        <v>2</v>
      </c>
      <c r="B198" s="456" t="s">
        <v>1354</v>
      </c>
      <c r="C198" s="456" t="s">
        <v>1390</v>
      </c>
      <c r="D198" s="457" t="s">
        <v>1354</v>
      </c>
      <c r="E198" s="457" t="s">
        <v>1345</v>
      </c>
      <c r="F198" s="457" t="s">
        <v>1345</v>
      </c>
      <c r="G198" s="457" t="s">
        <v>1345</v>
      </c>
      <c r="H198" s="466" t="s">
        <v>2559</v>
      </c>
      <c r="I198" s="459">
        <v>140000000</v>
      </c>
      <c r="J198" s="458">
        <v>120999000</v>
      </c>
      <c r="K198" s="458">
        <v>120999000</v>
      </c>
      <c r="L198" s="458">
        <v>120999000</v>
      </c>
      <c r="M198" s="458">
        <v>0</v>
      </c>
      <c r="N198" s="458"/>
      <c r="O198" s="458"/>
      <c r="P198" s="458"/>
      <c r="Q198" s="458"/>
      <c r="R198" s="458"/>
      <c r="S198" s="458"/>
      <c r="T198" s="458"/>
      <c r="U198" s="458"/>
      <c r="V198" s="458"/>
      <c r="W198" s="458"/>
      <c r="X198" s="458"/>
      <c r="Y198" s="787">
        <f t="shared" si="71"/>
        <v>140000000</v>
      </c>
      <c r="Z198" s="787">
        <f t="shared" si="71"/>
        <v>120999000</v>
      </c>
      <c r="AA198" s="787">
        <f t="shared" si="71"/>
        <v>120999000</v>
      </c>
      <c r="AB198" s="787">
        <f t="shared" si="71"/>
        <v>120999000</v>
      </c>
      <c r="AC198" s="453"/>
    </row>
    <row r="199" spans="1:29" ht="16.5" thickTop="1" thickBot="1" x14ac:dyDescent="0.3">
      <c r="A199" s="797"/>
      <c r="B199" s="797"/>
      <c r="C199" s="798"/>
      <c r="D199" s="798"/>
      <c r="E199" s="798"/>
      <c r="F199" s="798"/>
      <c r="G199" s="798"/>
      <c r="H199" s="799" t="s">
        <v>1449</v>
      </c>
      <c r="I199" s="800">
        <f t="shared" ref="I199:X199" si="75">+I4+I39+I50</f>
        <v>119248189296</v>
      </c>
      <c r="J199" s="800">
        <f t="shared" si="75"/>
        <v>100497725697</v>
      </c>
      <c r="K199" s="800">
        <f t="shared" si="75"/>
        <v>43981809782</v>
      </c>
      <c r="L199" s="800">
        <f t="shared" si="75"/>
        <v>41983158185</v>
      </c>
      <c r="M199" s="800">
        <f t="shared" si="75"/>
        <v>14166114110</v>
      </c>
      <c r="N199" s="800">
        <f t="shared" si="75"/>
        <v>14145629501</v>
      </c>
      <c r="O199" s="800">
        <f t="shared" si="75"/>
        <v>5072701536</v>
      </c>
      <c r="P199" s="800">
        <f t="shared" si="75"/>
        <v>5072701536</v>
      </c>
      <c r="Q199" s="800">
        <f t="shared" si="75"/>
        <v>0</v>
      </c>
      <c r="R199" s="800">
        <f t="shared" si="75"/>
        <v>0</v>
      </c>
      <c r="S199" s="800">
        <f t="shared" si="75"/>
        <v>0</v>
      </c>
      <c r="T199" s="800">
        <f t="shared" si="75"/>
        <v>0</v>
      </c>
      <c r="U199" s="800">
        <f t="shared" si="75"/>
        <v>79057608517</v>
      </c>
      <c r="V199" s="800">
        <f t="shared" si="75"/>
        <v>78932170681</v>
      </c>
      <c r="W199" s="800">
        <f t="shared" si="75"/>
        <v>65699767403</v>
      </c>
      <c r="X199" s="800">
        <f t="shared" si="75"/>
        <v>65699767403</v>
      </c>
      <c r="Y199" s="800">
        <f t="shared" si="71"/>
        <v>212471911923</v>
      </c>
      <c r="Z199" s="800">
        <f t="shared" si="71"/>
        <v>193575525879</v>
      </c>
      <c r="AA199" s="800">
        <f t="shared" si="71"/>
        <v>114754278721</v>
      </c>
      <c r="AB199" s="800">
        <f t="shared" si="71"/>
        <v>112755627124</v>
      </c>
      <c r="AC199" s="725"/>
    </row>
    <row r="200" spans="1:29" ht="15.75" thickTop="1" x14ac:dyDescent="0.25"/>
    <row r="201" spans="1:29" x14ac:dyDescent="0.25">
      <c r="H201" s="806" t="s">
        <v>2561</v>
      </c>
      <c r="I201" s="718">
        <v>119248189296</v>
      </c>
      <c r="J201" s="718">
        <v>100497725697</v>
      </c>
      <c r="K201" s="801">
        <v>43981809782</v>
      </c>
      <c r="L201" s="801">
        <v>41983158185</v>
      </c>
      <c r="M201" s="801">
        <v>14166114110</v>
      </c>
      <c r="N201" s="801">
        <v>14145629501</v>
      </c>
      <c r="O201" s="801">
        <v>5072701536</v>
      </c>
      <c r="P201" s="801">
        <v>5072701536</v>
      </c>
      <c r="U201" s="801">
        <v>79057608517</v>
      </c>
      <c r="V201" s="801">
        <v>78932170681</v>
      </c>
      <c r="W201" s="801">
        <v>65699767403</v>
      </c>
      <c r="X201" s="806">
        <v>65699767403</v>
      </c>
      <c r="Y201" s="801">
        <v>212471911923</v>
      </c>
      <c r="Z201" s="801">
        <v>193575525879</v>
      </c>
      <c r="AA201" s="801">
        <v>114754278721</v>
      </c>
      <c r="AB201" s="801">
        <v>112755627124</v>
      </c>
    </row>
    <row r="202" spans="1:29" x14ac:dyDescent="0.25">
      <c r="I202" s="802">
        <f>+I199-I201</f>
        <v>0</v>
      </c>
      <c r="J202" s="802">
        <f t="shared" ref="J202:P202" si="76">+J199-J201</f>
        <v>0</v>
      </c>
      <c r="K202" s="802">
        <f t="shared" si="76"/>
        <v>0</v>
      </c>
      <c r="L202" s="802">
        <f t="shared" si="76"/>
        <v>0</v>
      </c>
      <c r="M202" s="802">
        <f t="shared" si="76"/>
        <v>0</v>
      </c>
      <c r="N202" s="802">
        <f t="shared" si="76"/>
        <v>0</v>
      </c>
      <c r="O202" s="802">
        <f t="shared" si="76"/>
        <v>0</v>
      </c>
      <c r="P202" s="802">
        <f t="shared" si="76"/>
        <v>0</v>
      </c>
      <c r="U202" s="802">
        <f t="shared" ref="U202:X202" si="77">+U199-U201</f>
        <v>0</v>
      </c>
      <c r="V202" s="802">
        <f t="shared" si="77"/>
        <v>0</v>
      </c>
      <c r="W202" s="802">
        <f t="shared" si="77"/>
        <v>0</v>
      </c>
      <c r="X202" s="802">
        <f t="shared" si="77"/>
        <v>0</v>
      </c>
      <c r="Y202" s="802">
        <f>+Y199-Y201</f>
        <v>0</v>
      </c>
      <c r="Z202" s="802">
        <f>+Z199-Z201</f>
        <v>0</v>
      </c>
      <c r="AA202" s="802">
        <f>+AA199-AA201</f>
        <v>0</v>
      </c>
      <c r="AB202" s="802">
        <f>+AB199-AB201</f>
        <v>0</v>
      </c>
    </row>
    <row r="203" spans="1:29" x14ac:dyDescent="0.25">
      <c r="I203" s="584"/>
      <c r="Y203" s="801"/>
      <c r="Z203" s="801"/>
      <c r="AA203" s="801"/>
      <c r="AB203" s="801"/>
    </row>
    <row r="204" spans="1:29" x14ac:dyDescent="0.25">
      <c r="Y204" s="802"/>
      <c r="Z204" s="802"/>
      <c r="AA204" s="802"/>
      <c r="AB204" s="802"/>
    </row>
  </sheetData>
  <mergeCells count="13">
    <mergeCell ref="F2:F3"/>
    <mergeCell ref="A2:A3"/>
    <mergeCell ref="B2:B3"/>
    <mergeCell ref="C2:C3"/>
    <mergeCell ref="D2:D3"/>
    <mergeCell ref="E2:E3"/>
    <mergeCell ref="Y2:AB2"/>
    <mergeCell ref="G2:G3"/>
    <mergeCell ref="H2:H3"/>
    <mergeCell ref="I2:L2"/>
    <mergeCell ref="M2:P2"/>
    <mergeCell ref="Q2:T2"/>
    <mergeCell ref="U2:X2"/>
  </mergeCells>
  <printOptions horizontalCentered="1" verticalCentered="1"/>
  <pageMargins left="0.78740157480314965" right="0.78740157480314965" top="0.98425196850393704" bottom="0.98425196850393704" header="0" footer="0"/>
  <pageSetup paperSize="9" scale="86"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X108"/>
  <sheetViews>
    <sheetView zoomScaleNormal="100" workbookViewId="0">
      <pane xSplit="1" ySplit="2" topLeftCell="B3" activePane="bottomRight" state="frozen"/>
      <selection activeCell="R7" sqref="R7"/>
      <selection pane="topRight" activeCell="R7" sqref="R7"/>
      <selection pane="bottomLeft" activeCell="R7" sqref="R7"/>
      <selection pane="bottomRight" activeCell="B3" sqref="B3"/>
    </sheetView>
  </sheetViews>
  <sheetFormatPr baseColWidth="10" defaultRowHeight="15" x14ac:dyDescent="0.25"/>
  <cols>
    <col min="1" max="1" width="54.140625" style="586" customWidth="1"/>
    <col min="2" max="2" width="23.7109375" style="586" bestFit="1" customWidth="1"/>
    <col min="3" max="6" width="20.28515625" style="586" customWidth="1"/>
    <col min="7" max="14" width="18.28515625" style="586" customWidth="1"/>
    <col min="15" max="16" width="20.5703125" style="864" customWidth="1"/>
    <col min="17" max="17" width="20.5703125" style="586" customWidth="1"/>
    <col min="18" max="18" width="20.5703125" style="864" customWidth="1"/>
    <col min="19" max="19" width="20.28515625" style="864" customWidth="1"/>
    <col min="20" max="20" width="25.42578125" style="864" customWidth="1"/>
    <col min="21" max="21" width="18" style="586" customWidth="1"/>
    <col min="22" max="23" width="19.140625" style="586" customWidth="1"/>
    <col min="24" max="24" width="18" style="586" customWidth="1"/>
    <col min="25" max="26" width="20.140625" style="586" customWidth="1"/>
    <col min="27" max="27" width="19.5703125" style="586" customWidth="1"/>
    <col min="28" max="30" width="19.140625" style="586" customWidth="1"/>
    <col min="31" max="31" width="20.42578125" style="586" customWidth="1"/>
    <col min="32" max="32" width="21" style="586" customWidth="1"/>
    <col min="33" max="34" width="19.140625" style="586" customWidth="1"/>
    <col min="35" max="36" width="21" style="586" customWidth="1"/>
    <col min="37" max="38" width="19" style="586" customWidth="1"/>
    <col min="39" max="39" width="21" style="586" customWidth="1"/>
    <col min="40" max="42" width="19.42578125" style="586" customWidth="1"/>
    <col min="43" max="44" width="21" style="586" customWidth="1"/>
    <col min="45" max="46" width="19.42578125" style="586" customWidth="1"/>
    <col min="47" max="47" width="21" style="586" customWidth="1"/>
    <col min="48" max="54" width="19.42578125" style="586" customWidth="1"/>
    <col min="55" max="56" width="22.42578125" style="586" customWidth="1"/>
    <col min="57" max="57" width="22.140625" style="586" customWidth="1"/>
    <col min="58" max="58" width="22.7109375" style="586" customWidth="1"/>
    <col min="59" max="64" width="22.42578125" style="586" customWidth="1"/>
    <col min="65" max="78" width="19.42578125" style="586" customWidth="1"/>
    <col min="79" max="79" width="21.7109375" style="586" customWidth="1"/>
    <col min="80" max="82" width="19.42578125" style="586" customWidth="1"/>
    <col min="83" max="83" width="21" style="586" customWidth="1"/>
    <col min="84" max="90" width="19.42578125" style="586" customWidth="1"/>
    <col min="91" max="91" width="22.42578125" style="586" customWidth="1"/>
    <col min="92" max="94" width="21.42578125" style="586" customWidth="1"/>
    <col min="95" max="95" width="21.5703125" style="586" customWidth="1"/>
    <col min="96" max="98" width="21" style="586" customWidth="1"/>
    <col min="99" max="99" width="20.85546875" style="586" customWidth="1"/>
    <col min="100" max="102" width="20" style="586" customWidth="1"/>
    <col min="103" max="103" width="20.85546875" style="586" customWidth="1"/>
    <col min="104" max="106" width="20" style="586" customWidth="1"/>
    <col min="107" max="107" width="20.85546875" style="586" customWidth="1"/>
    <col min="108" max="110" width="20" style="586" customWidth="1"/>
    <col min="111" max="111" width="20.85546875" style="586" customWidth="1"/>
    <col min="112" max="114" width="20" style="586" customWidth="1"/>
    <col min="115" max="115" width="20.85546875" style="586" customWidth="1"/>
    <col min="116" max="118" width="20" style="586" customWidth="1"/>
    <col min="119" max="120" width="22.42578125" style="586" customWidth="1"/>
    <col min="121" max="130" width="20" style="586" customWidth="1"/>
    <col min="131" max="131" width="20.28515625" style="864" customWidth="1"/>
    <col min="132" max="132" width="25.42578125" style="864" customWidth="1"/>
    <col min="133" max="133" width="18" style="586" customWidth="1"/>
    <col min="134" max="134" width="19.140625" style="586" customWidth="1"/>
    <col min="135" max="135" width="23.7109375" style="586" customWidth="1"/>
    <col min="136" max="137" width="25.28515625" style="586" customWidth="1"/>
    <col min="138" max="138" width="24.42578125" style="586" customWidth="1"/>
    <col min="139" max="139" width="36.42578125" style="586" customWidth="1"/>
    <col min="140" max="140" width="11.42578125" style="586"/>
    <col min="141" max="141" width="19.7109375" style="586" bestFit="1" customWidth="1"/>
    <col min="142" max="142" width="18.85546875" style="586" bestFit="1" customWidth="1"/>
    <col min="143" max="264" width="11.42578125" style="586"/>
    <col min="265" max="265" width="54.140625" style="586" customWidth="1"/>
    <col min="266" max="266" width="22.85546875" style="586" customWidth="1"/>
    <col min="267" max="270" width="20.28515625" style="586" customWidth="1"/>
    <col min="271" max="278" width="18.28515625" style="586" customWidth="1"/>
    <col min="279" max="282" width="20.5703125" style="586" customWidth="1"/>
    <col min="283" max="283" width="20.28515625" style="586" customWidth="1"/>
    <col min="284" max="284" width="25.42578125" style="586" customWidth="1"/>
    <col min="285" max="285" width="18" style="586" customWidth="1"/>
    <col min="286" max="287" width="19.140625" style="586" customWidth="1"/>
    <col min="288" max="288" width="18" style="586" customWidth="1"/>
    <col min="289" max="290" width="20.140625" style="586" customWidth="1"/>
    <col min="291" max="292" width="18.42578125" style="586" customWidth="1"/>
    <col min="293" max="293" width="17.28515625" style="586" customWidth="1"/>
    <col min="294" max="294" width="17.140625" style="586" customWidth="1"/>
    <col min="295" max="295" width="20.42578125" style="586" customWidth="1"/>
    <col min="296" max="298" width="17.140625" style="586" customWidth="1"/>
    <col min="299" max="299" width="19.7109375" style="586" customWidth="1"/>
    <col min="300" max="302" width="19" style="586" customWidth="1"/>
    <col min="303" max="303" width="21" style="586" customWidth="1"/>
    <col min="304" max="306" width="19.42578125" style="586" customWidth="1"/>
    <col min="307" max="307" width="21" style="586" customWidth="1"/>
    <col min="308" max="310" width="19.42578125" style="586" customWidth="1"/>
    <col min="311" max="311" width="21" style="586" customWidth="1"/>
    <col min="312" max="318" width="19.42578125" style="586" customWidth="1"/>
    <col min="319" max="319" width="21.42578125" style="586" customWidth="1"/>
    <col min="320" max="320" width="21" style="586" customWidth="1"/>
    <col min="321" max="321" width="22.140625" style="586" customWidth="1"/>
    <col min="322" max="322" width="21.7109375" style="586" customWidth="1"/>
    <col min="323" max="323" width="21.140625" style="586" customWidth="1"/>
    <col min="324" max="324" width="20.7109375" style="586" customWidth="1"/>
    <col min="325" max="326" width="19.42578125" style="586" customWidth="1"/>
    <col min="327" max="327" width="21.42578125" style="586" customWidth="1"/>
    <col min="328" max="342" width="19.42578125" style="586" customWidth="1"/>
    <col min="343" max="343" width="21.7109375" style="586" customWidth="1"/>
    <col min="344" max="354" width="19.42578125" style="586" customWidth="1"/>
    <col min="355" max="355" width="20.85546875" style="586" customWidth="1"/>
    <col min="356" max="358" width="20" style="586" customWidth="1"/>
    <col min="359" max="359" width="20.85546875" style="586" customWidth="1"/>
    <col min="360" max="362" width="20" style="586" customWidth="1"/>
    <col min="363" max="363" width="20.85546875" style="586" customWidth="1"/>
    <col min="364" max="366" width="20" style="586" customWidth="1"/>
    <col min="367" max="367" width="20.85546875" style="586" customWidth="1"/>
    <col min="368" max="370" width="20" style="586" customWidth="1"/>
    <col min="371" max="371" width="20.85546875" style="586" customWidth="1"/>
    <col min="372" max="374" width="20" style="586" customWidth="1"/>
    <col min="375" max="375" width="20.85546875" style="586" customWidth="1"/>
    <col min="376" max="378" width="20" style="586" customWidth="1"/>
    <col min="379" max="379" width="20.85546875" style="586" customWidth="1"/>
    <col min="380" max="382" width="20" style="586" customWidth="1"/>
    <col min="383" max="383" width="20.85546875" style="586" customWidth="1"/>
    <col min="384" max="386" width="20" style="586" customWidth="1"/>
    <col min="387" max="387" width="20.28515625" style="586" customWidth="1"/>
    <col min="388" max="388" width="25.42578125" style="586" customWidth="1"/>
    <col min="389" max="389" width="18" style="586" customWidth="1"/>
    <col min="390" max="390" width="19.140625" style="586" customWidth="1"/>
    <col min="391" max="391" width="21.85546875" style="586" customWidth="1"/>
    <col min="392" max="393" width="25.28515625" style="586" customWidth="1"/>
    <col min="394" max="394" width="24.42578125" style="586" customWidth="1"/>
    <col min="395" max="395" width="36.42578125" style="586" customWidth="1"/>
    <col min="396" max="396" width="11.42578125" style="586"/>
    <col min="397" max="397" width="19.7109375" style="586" bestFit="1" customWidth="1"/>
    <col min="398" max="520" width="11.42578125" style="586"/>
    <col min="521" max="521" width="54.140625" style="586" customWidth="1"/>
    <col min="522" max="522" width="22.85546875" style="586" customWidth="1"/>
    <col min="523" max="526" width="20.28515625" style="586" customWidth="1"/>
    <col min="527" max="534" width="18.28515625" style="586" customWidth="1"/>
    <col min="535" max="538" width="20.5703125" style="586" customWidth="1"/>
    <col min="539" max="539" width="20.28515625" style="586" customWidth="1"/>
    <col min="540" max="540" width="25.42578125" style="586" customWidth="1"/>
    <col min="541" max="541" width="18" style="586" customWidth="1"/>
    <col min="542" max="543" width="19.140625" style="586" customWidth="1"/>
    <col min="544" max="544" width="18" style="586" customWidth="1"/>
    <col min="545" max="546" width="20.140625" style="586" customWidth="1"/>
    <col min="547" max="548" width="18.42578125" style="586" customWidth="1"/>
    <col min="549" max="549" width="17.28515625" style="586" customWidth="1"/>
    <col min="550" max="550" width="17.140625" style="586" customWidth="1"/>
    <col min="551" max="551" width="20.42578125" style="586" customWidth="1"/>
    <col min="552" max="554" width="17.140625" style="586" customWidth="1"/>
    <col min="555" max="555" width="19.7109375" style="586" customWidth="1"/>
    <col min="556" max="558" width="19" style="586" customWidth="1"/>
    <col min="559" max="559" width="21" style="586" customWidth="1"/>
    <col min="560" max="562" width="19.42578125" style="586" customWidth="1"/>
    <col min="563" max="563" width="21" style="586" customWidth="1"/>
    <col min="564" max="566" width="19.42578125" style="586" customWidth="1"/>
    <col min="567" max="567" width="21" style="586" customWidth="1"/>
    <col min="568" max="574" width="19.42578125" style="586" customWidth="1"/>
    <col min="575" max="575" width="21.42578125" style="586" customWidth="1"/>
    <col min="576" max="576" width="21" style="586" customWidth="1"/>
    <col min="577" max="577" width="22.140625" style="586" customWidth="1"/>
    <col min="578" max="578" width="21.7109375" style="586" customWidth="1"/>
    <col min="579" max="579" width="21.140625" style="586" customWidth="1"/>
    <col min="580" max="580" width="20.7109375" style="586" customWidth="1"/>
    <col min="581" max="582" width="19.42578125" style="586" customWidth="1"/>
    <col min="583" max="583" width="21.42578125" style="586" customWidth="1"/>
    <col min="584" max="598" width="19.42578125" style="586" customWidth="1"/>
    <col min="599" max="599" width="21.7109375" style="586" customWidth="1"/>
    <col min="600" max="610" width="19.42578125" style="586" customWidth="1"/>
    <col min="611" max="611" width="20.85546875" style="586" customWidth="1"/>
    <col min="612" max="614" width="20" style="586" customWidth="1"/>
    <col min="615" max="615" width="20.85546875" style="586" customWidth="1"/>
    <col min="616" max="618" width="20" style="586" customWidth="1"/>
    <col min="619" max="619" width="20.85546875" style="586" customWidth="1"/>
    <col min="620" max="622" width="20" style="586" customWidth="1"/>
    <col min="623" max="623" width="20.85546875" style="586" customWidth="1"/>
    <col min="624" max="626" width="20" style="586" customWidth="1"/>
    <col min="627" max="627" width="20.85546875" style="586" customWidth="1"/>
    <col min="628" max="630" width="20" style="586" customWidth="1"/>
    <col min="631" max="631" width="20.85546875" style="586" customWidth="1"/>
    <col min="632" max="634" width="20" style="586" customWidth="1"/>
    <col min="635" max="635" width="20.85546875" style="586" customWidth="1"/>
    <col min="636" max="638" width="20" style="586" customWidth="1"/>
    <col min="639" max="639" width="20.85546875" style="586" customWidth="1"/>
    <col min="640" max="642" width="20" style="586" customWidth="1"/>
    <col min="643" max="643" width="20.28515625" style="586" customWidth="1"/>
    <col min="644" max="644" width="25.42578125" style="586" customWidth="1"/>
    <col min="645" max="645" width="18" style="586" customWidth="1"/>
    <col min="646" max="646" width="19.140625" style="586" customWidth="1"/>
    <col min="647" max="647" width="21.85546875" style="586" customWidth="1"/>
    <col min="648" max="649" width="25.28515625" style="586" customWidth="1"/>
    <col min="650" max="650" width="24.42578125" style="586" customWidth="1"/>
    <col min="651" max="651" width="36.42578125" style="586" customWidth="1"/>
    <col min="652" max="652" width="11.42578125" style="586"/>
    <col min="653" max="653" width="19.7109375" style="586" bestFit="1" customWidth="1"/>
    <col min="654" max="776" width="11.42578125" style="586"/>
    <col min="777" max="777" width="54.140625" style="586" customWidth="1"/>
    <col min="778" max="778" width="22.85546875" style="586" customWidth="1"/>
    <col min="779" max="782" width="20.28515625" style="586" customWidth="1"/>
    <col min="783" max="790" width="18.28515625" style="586" customWidth="1"/>
    <col min="791" max="794" width="20.5703125" style="586" customWidth="1"/>
    <col min="795" max="795" width="20.28515625" style="586" customWidth="1"/>
    <col min="796" max="796" width="25.42578125" style="586" customWidth="1"/>
    <col min="797" max="797" width="18" style="586" customWidth="1"/>
    <col min="798" max="799" width="19.140625" style="586" customWidth="1"/>
    <col min="800" max="800" width="18" style="586" customWidth="1"/>
    <col min="801" max="802" width="20.140625" style="586" customWidth="1"/>
    <col min="803" max="804" width="18.42578125" style="586" customWidth="1"/>
    <col min="805" max="805" width="17.28515625" style="586" customWidth="1"/>
    <col min="806" max="806" width="17.140625" style="586" customWidth="1"/>
    <col min="807" max="807" width="20.42578125" style="586" customWidth="1"/>
    <col min="808" max="810" width="17.140625" style="586" customWidth="1"/>
    <col min="811" max="811" width="19.7109375" style="586" customWidth="1"/>
    <col min="812" max="814" width="19" style="586" customWidth="1"/>
    <col min="815" max="815" width="21" style="586" customWidth="1"/>
    <col min="816" max="818" width="19.42578125" style="586" customWidth="1"/>
    <col min="819" max="819" width="21" style="586" customWidth="1"/>
    <col min="820" max="822" width="19.42578125" style="586" customWidth="1"/>
    <col min="823" max="823" width="21" style="586" customWidth="1"/>
    <col min="824" max="830" width="19.42578125" style="586" customWidth="1"/>
    <col min="831" max="831" width="21.42578125" style="586" customWidth="1"/>
    <col min="832" max="832" width="21" style="586" customWidth="1"/>
    <col min="833" max="833" width="22.140625" style="586" customWidth="1"/>
    <col min="834" max="834" width="21.7109375" style="586" customWidth="1"/>
    <col min="835" max="835" width="21.140625" style="586" customWidth="1"/>
    <col min="836" max="836" width="20.7109375" style="586" customWidth="1"/>
    <col min="837" max="838" width="19.42578125" style="586" customWidth="1"/>
    <col min="839" max="839" width="21.42578125" style="586" customWidth="1"/>
    <col min="840" max="854" width="19.42578125" style="586" customWidth="1"/>
    <col min="855" max="855" width="21.7109375" style="586" customWidth="1"/>
    <col min="856" max="866" width="19.42578125" style="586" customWidth="1"/>
    <col min="867" max="867" width="20.85546875" style="586" customWidth="1"/>
    <col min="868" max="870" width="20" style="586" customWidth="1"/>
    <col min="871" max="871" width="20.85546875" style="586" customWidth="1"/>
    <col min="872" max="874" width="20" style="586" customWidth="1"/>
    <col min="875" max="875" width="20.85546875" style="586" customWidth="1"/>
    <col min="876" max="878" width="20" style="586" customWidth="1"/>
    <col min="879" max="879" width="20.85546875" style="586" customWidth="1"/>
    <col min="880" max="882" width="20" style="586" customWidth="1"/>
    <col min="883" max="883" width="20.85546875" style="586" customWidth="1"/>
    <col min="884" max="886" width="20" style="586" customWidth="1"/>
    <col min="887" max="887" width="20.85546875" style="586" customWidth="1"/>
    <col min="888" max="890" width="20" style="586" customWidth="1"/>
    <col min="891" max="891" width="20.85546875" style="586" customWidth="1"/>
    <col min="892" max="894" width="20" style="586" customWidth="1"/>
    <col min="895" max="895" width="20.85546875" style="586" customWidth="1"/>
    <col min="896" max="898" width="20" style="586" customWidth="1"/>
    <col min="899" max="899" width="20.28515625" style="586" customWidth="1"/>
    <col min="900" max="900" width="25.42578125" style="586" customWidth="1"/>
    <col min="901" max="901" width="18" style="586" customWidth="1"/>
    <col min="902" max="902" width="19.140625" style="586" customWidth="1"/>
    <col min="903" max="903" width="21.85546875" style="586" customWidth="1"/>
    <col min="904" max="905" width="25.28515625" style="586" customWidth="1"/>
    <col min="906" max="906" width="24.42578125" style="586" customWidth="1"/>
    <col min="907" max="907" width="36.42578125" style="586" customWidth="1"/>
    <col min="908" max="908" width="11.42578125" style="586"/>
    <col min="909" max="909" width="19.7109375" style="586" bestFit="1" customWidth="1"/>
    <col min="910" max="1032" width="11.42578125" style="586"/>
    <col min="1033" max="1033" width="54.140625" style="586" customWidth="1"/>
    <col min="1034" max="1034" width="22.85546875" style="586" customWidth="1"/>
    <col min="1035" max="1038" width="20.28515625" style="586" customWidth="1"/>
    <col min="1039" max="1046" width="18.28515625" style="586" customWidth="1"/>
    <col min="1047" max="1050" width="20.5703125" style="586" customWidth="1"/>
    <col min="1051" max="1051" width="20.28515625" style="586" customWidth="1"/>
    <col min="1052" max="1052" width="25.42578125" style="586" customWidth="1"/>
    <col min="1053" max="1053" width="18" style="586" customWidth="1"/>
    <col min="1054" max="1055" width="19.140625" style="586" customWidth="1"/>
    <col min="1056" max="1056" width="18" style="586" customWidth="1"/>
    <col min="1057" max="1058" width="20.140625" style="586" customWidth="1"/>
    <col min="1059" max="1060" width="18.42578125" style="586" customWidth="1"/>
    <col min="1061" max="1061" width="17.28515625" style="586" customWidth="1"/>
    <col min="1062" max="1062" width="17.140625" style="586" customWidth="1"/>
    <col min="1063" max="1063" width="20.42578125" style="586" customWidth="1"/>
    <col min="1064" max="1066" width="17.140625" style="586" customWidth="1"/>
    <col min="1067" max="1067" width="19.7109375" style="586" customWidth="1"/>
    <col min="1068" max="1070" width="19" style="586" customWidth="1"/>
    <col min="1071" max="1071" width="21" style="586" customWidth="1"/>
    <col min="1072" max="1074" width="19.42578125" style="586" customWidth="1"/>
    <col min="1075" max="1075" width="21" style="586" customWidth="1"/>
    <col min="1076" max="1078" width="19.42578125" style="586" customWidth="1"/>
    <col min="1079" max="1079" width="21" style="586" customWidth="1"/>
    <col min="1080" max="1086" width="19.42578125" style="586" customWidth="1"/>
    <col min="1087" max="1087" width="21.42578125" style="586" customWidth="1"/>
    <col min="1088" max="1088" width="21" style="586" customWidth="1"/>
    <col min="1089" max="1089" width="22.140625" style="586" customWidth="1"/>
    <col min="1090" max="1090" width="21.7109375" style="586" customWidth="1"/>
    <col min="1091" max="1091" width="21.140625" style="586" customWidth="1"/>
    <col min="1092" max="1092" width="20.7109375" style="586" customWidth="1"/>
    <col min="1093" max="1094" width="19.42578125" style="586" customWidth="1"/>
    <col min="1095" max="1095" width="21.42578125" style="586" customWidth="1"/>
    <col min="1096" max="1110" width="19.42578125" style="586" customWidth="1"/>
    <col min="1111" max="1111" width="21.7109375" style="586" customWidth="1"/>
    <col min="1112" max="1122" width="19.42578125" style="586" customWidth="1"/>
    <col min="1123" max="1123" width="20.85546875" style="586" customWidth="1"/>
    <col min="1124" max="1126" width="20" style="586" customWidth="1"/>
    <col min="1127" max="1127" width="20.85546875" style="586" customWidth="1"/>
    <col min="1128" max="1130" width="20" style="586" customWidth="1"/>
    <col min="1131" max="1131" width="20.85546875" style="586" customWidth="1"/>
    <col min="1132" max="1134" width="20" style="586" customWidth="1"/>
    <col min="1135" max="1135" width="20.85546875" style="586" customWidth="1"/>
    <col min="1136" max="1138" width="20" style="586" customWidth="1"/>
    <col min="1139" max="1139" width="20.85546875" style="586" customWidth="1"/>
    <col min="1140" max="1142" width="20" style="586" customWidth="1"/>
    <col min="1143" max="1143" width="20.85546875" style="586" customWidth="1"/>
    <col min="1144" max="1146" width="20" style="586" customWidth="1"/>
    <col min="1147" max="1147" width="20.85546875" style="586" customWidth="1"/>
    <col min="1148" max="1150" width="20" style="586" customWidth="1"/>
    <col min="1151" max="1151" width="20.85546875" style="586" customWidth="1"/>
    <col min="1152" max="1154" width="20" style="586" customWidth="1"/>
    <col min="1155" max="1155" width="20.28515625" style="586" customWidth="1"/>
    <col min="1156" max="1156" width="25.42578125" style="586" customWidth="1"/>
    <col min="1157" max="1157" width="18" style="586" customWidth="1"/>
    <col min="1158" max="1158" width="19.140625" style="586" customWidth="1"/>
    <col min="1159" max="1159" width="21.85546875" style="586" customWidth="1"/>
    <col min="1160" max="1161" width="25.28515625" style="586" customWidth="1"/>
    <col min="1162" max="1162" width="24.42578125" style="586" customWidth="1"/>
    <col min="1163" max="1163" width="36.42578125" style="586" customWidth="1"/>
    <col min="1164" max="1164" width="11.42578125" style="586"/>
    <col min="1165" max="1165" width="19.7109375" style="586" bestFit="1" customWidth="1"/>
    <col min="1166" max="1288" width="11.42578125" style="586"/>
    <col min="1289" max="1289" width="54.140625" style="586" customWidth="1"/>
    <col min="1290" max="1290" width="22.85546875" style="586" customWidth="1"/>
    <col min="1291" max="1294" width="20.28515625" style="586" customWidth="1"/>
    <col min="1295" max="1302" width="18.28515625" style="586" customWidth="1"/>
    <col min="1303" max="1306" width="20.5703125" style="586" customWidth="1"/>
    <col min="1307" max="1307" width="20.28515625" style="586" customWidth="1"/>
    <col min="1308" max="1308" width="25.42578125" style="586" customWidth="1"/>
    <col min="1309" max="1309" width="18" style="586" customWidth="1"/>
    <col min="1310" max="1311" width="19.140625" style="586" customWidth="1"/>
    <col min="1312" max="1312" width="18" style="586" customWidth="1"/>
    <col min="1313" max="1314" width="20.140625" style="586" customWidth="1"/>
    <col min="1315" max="1316" width="18.42578125" style="586" customWidth="1"/>
    <col min="1317" max="1317" width="17.28515625" style="586" customWidth="1"/>
    <col min="1318" max="1318" width="17.140625" style="586" customWidth="1"/>
    <col min="1319" max="1319" width="20.42578125" style="586" customWidth="1"/>
    <col min="1320" max="1322" width="17.140625" style="586" customWidth="1"/>
    <col min="1323" max="1323" width="19.7109375" style="586" customWidth="1"/>
    <col min="1324" max="1326" width="19" style="586" customWidth="1"/>
    <col min="1327" max="1327" width="21" style="586" customWidth="1"/>
    <col min="1328" max="1330" width="19.42578125" style="586" customWidth="1"/>
    <col min="1331" max="1331" width="21" style="586" customWidth="1"/>
    <col min="1332" max="1334" width="19.42578125" style="586" customWidth="1"/>
    <col min="1335" max="1335" width="21" style="586" customWidth="1"/>
    <col min="1336" max="1342" width="19.42578125" style="586" customWidth="1"/>
    <col min="1343" max="1343" width="21.42578125" style="586" customWidth="1"/>
    <col min="1344" max="1344" width="21" style="586" customWidth="1"/>
    <col min="1345" max="1345" width="22.140625" style="586" customWidth="1"/>
    <col min="1346" max="1346" width="21.7109375" style="586" customWidth="1"/>
    <col min="1347" max="1347" width="21.140625" style="586" customWidth="1"/>
    <col min="1348" max="1348" width="20.7109375" style="586" customWidth="1"/>
    <col min="1349" max="1350" width="19.42578125" style="586" customWidth="1"/>
    <col min="1351" max="1351" width="21.42578125" style="586" customWidth="1"/>
    <col min="1352" max="1366" width="19.42578125" style="586" customWidth="1"/>
    <col min="1367" max="1367" width="21.7109375" style="586" customWidth="1"/>
    <col min="1368" max="1378" width="19.42578125" style="586" customWidth="1"/>
    <col min="1379" max="1379" width="20.85546875" style="586" customWidth="1"/>
    <col min="1380" max="1382" width="20" style="586" customWidth="1"/>
    <col min="1383" max="1383" width="20.85546875" style="586" customWidth="1"/>
    <col min="1384" max="1386" width="20" style="586" customWidth="1"/>
    <col min="1387" max="1387" width="20.85546875" style="586" customWidth="1"/>
    <col min="1388" max="1390" width="20" style="586" customWidth="1"/>
    <col min="1391" max="1391" width="20.85546875" style="586" customWidth="1"/>
    <col min="1392" max="1394" width="20" style="586" customWidth="1"/>
    <col min="1395" max="1395" width="20.85546875" style="586" customWidth="1"/>
    <col min="1396" max="1398" width="20" style="586" customWidth="1"/>
    <col min="1399" max="1399" width="20.85546875" style="586" customWidth="1"/>
    <col min="1400" max="1402" width="20" style="586" customWidth="1"/>
    <col min="1403" max="1403" width="20.85546875" style="586" customWidth="1"/>
    <col min="1404" max="1406" width="20" style="586" customWidth="1"/>
    <col min="1407" max="1407" width="20.85546875" style="586" customWidth="1"/>
    <col min="1408" max="1410" width="20" style="586" customWidth="1"/>
    <col min="1411" max="1411" width="20.28515625" style="586" customWidth="1"/>
    <col min="1412" max="1412" width="25.42578125" style="586" customWidth="1"/>
    <col min="1413" max="1413" width="18" style="586" customWidth="1"/>
    <col min="1414" max="1414" width="19.140625" style="586" customWidth="1"/>
    <col min="1415" max="1415" width="21.85546875" style="586" customWidth="1"/>
    <col min="1416" max="1417" width="25.28515625" style="586" customWidth="1"/>
    <col min="1418" max="1418" width="24.42578125" style="586" customWidth="1"/>
    <col min="1419" max="1419" width="36.42578125" style="586" customWidth="1"/>
    <col min="1420" max="1420" width="11.42578125" style="586"/>
    <col min="1421" max="1421" width="19.7109375" style="586" bestFit="1" customWidth="1"/>
    <col min="1422" max="1544" width="11.42578125" style="586"/>
    <col min="1545" max="1545" width="54.140625" style="586" customWidth="1"/>
    <col min="1546" max="1546" width="22.85546875" style="586" customWidth="1"/>
    <col min="1547" max="1550" width="20.28515625" style="586" customWidth="1"/>
    <col min="1551" max="1558" width="18.28515625" style="586" customWidth="1"/>
    <col min="1559" max="1562" width="20.5703125" style="586" customWidth="1"/>
    <col min="1563" max="1563" width="20.28515625" style="586" customWidth="1"/>
    <col min="1564" max="1564" width="25.42578125" style="586" customWidth="1"/>
    <col min="1565" max="1565" width="18" style="586" customWidth="1"/>
    <col min="1566" max="1567" width="19.140625" style="586" customWidth="1"/>
    <col min="1568" max="1568" width="18" style="586" customWidth="1"/>
    <col min="1569" max="1570" width="20.140625" style="586" customWidth="1"/>
    <col min="1571" max="1572" width="18.42578125" style="586" customWidth="1"/>
    <col min="1573" max="1573" width="17.28515625" style="586" customWidth="1"/>
    <col min="1574" max="1574" width="17.140625" style="586" customWidth="1"/>
    <col min="1575" max="1575" width="20.42578125" style="586" customWidth="1"/>
    <col min="1576" max="1578" width="17.140625" style="586" customWidth="1"/>
    <col min="1579" max="1579" width="19.7109375" style="586" customWidth="1"/>
    <col min="1580" max="1582" width="19" style="586" customWidth="1"/>
    <col min="1583" max="1583" width="21" style="586" customWidth="1"/>
    <col min="1584" max="1586" width="19.42578125" style="586" customWidth="1"/>
    <col min="1587" max="1587" width="21" style="586" customWidth="1"/>
    <col min="1588" max="1590" width="19.42578125" style="586" customWidth="1"/>
    <col min="1591" max="1591" width="21" style="586" customWidth="1"/>
    <col min="1592" max="1598" width="19.42578125" style="586" customWidth="1"/>
    <col min="1599" max="1599" width="21.42578125" style="586" customWidth="1"/>
    <col min="1600" max="1600" width="21" style="586" customWidth="1"/>
    <col min="1601" max="1601" width="22.140625" style="586" customWidth="1"/>
    <col min="1602" max="1602" width="21.7109375" style="586" customWidth="1"/>
    <col min="1603" max="1603" width="21.140625" style="586" customWidth="1"/>
    <col min="1604" max="1604" width="20.7109375" style="586" customWidth="1"/>
    <col min="1605" max="1606" width="19.42578125" style="586" customWidth="1"/>
    <col min="1607" max="1607" width="21.42578125" style="586" customWidth="1"/>
    <col min="1608" max="1622" width="19.42578125" style="586" customWidth="1"/>
    <col min="1623" max="1623" width="21.7109375" style="586" customWidth="1"/>
    <col min="1624" max="1634" width="19.42578125" style="586" customWidth="1"/>
    <col min="1635" max="1635" width="20.85546875" style="586" customWidth="1"/>
    <col min="1636" max="1638" width="20" style="586" customWidth="1"/>
    <col min="1639" max="1639" width="20.85546875" style="586" customWidth="1"/>
    <col min="1640" max="1642" width="20" style="586" customWidth="1"/>
    <col min="1643" max="1643" width="20.85546875" style="586" customWidth="1"/>
    <col min="1644" max="1646" width="20" style="586" customWidth="1"/>
    <col min="1647" max="1647" width="20.85546875" style="586" customWidth="1"/>
    <col min="1648" max="1650" width="20" style="586" customWidth="1"/>
    <col min="1651" max="1651" width="20.85546875" style="586" customWidth="1"/>
    <col min="1652" max="1654" width="20" style="586" customWidth="1"/>
    <col min="1655" max="1655" width="20.85546875" style="586" customWidth="1"/>
    <col min="1656" max="1658" width="20" style="586" customWidth="1"/>
    <col min="1659" max="1659" width="20.85546875" style="586" customWidth="1"/>
    <col min="1660" max="1662" width="20" style="586" customWidth="1"/>
    <col min="1663" max="1663" width="20.85546875" style="586" customWidth="1"/>
    <col min="1664" max="1666" width="20" style="586" customWidth="1"/>
    <col min="1667" max="1667" width="20.28515625" style="586" customWidth="1"/>
    <col min="1668" max="1668" width="25.42578125" style="586" customWidth="1"/>
    <col min="1669" max="1669" width="18" style="586" customWidth="1"/>
    <col min="1670" max="1670" width="19.140625" style="586" customWidth="1"/>
    <col min="1671" max="1671" width="21.85546875" style="586" customWidth="1"/>
    <col min="1672" max="1673" width="25.28515625" style="586" customWidth="1"/>
    <col min="1674" max="1674" width="24.42578125" style="586" customWidth="1"/>
    <col min="1675" max="1675" width="36.42578125" style="586" customWidth="1"/>
    <col min="1676" max="1676" width="11.42578125" style="586"/>
    <col min="1677" max="1677" width="19.7109375" style="586" bestFit="1" customWidth="1"/>
    <col min="1678" max="1800" width="11.42578125" style="586"/>
    <col min="1801" max="1801" width="54.140625" style="586" customWidth="1"/>
    <col min="1802" max="1802" width="22.85546875" style="586" customWidth="1"/>
    <col min="1803" max="1806" width="20.28515625" style="586" customWidth="1"/>
    <col min="1807" max="1814" width="18.28515625" style="586" customWidth="1"/>
    <col min="1815" max="1818" width="20.5703125" style="586" customWidth="1"/>
    <col min="1819" max="1819" width="20.28515625" style="586" customWidth="1"/>
    <col min="1820" max="1820" width="25.42578125" style="586" customWidth="1"/>
    <col min="1821" max="1821" width="18" style="586" customWidth="1"/>
    <col min="1822" max="1823" width="19.140625" style="586" customWidth="1"/>
    <col min="1824" max="1824" width="18" style="586" customWidth="1"/>
    <col min="1825" max="1826" width="20.140625" style="586" customWidth="1"/>
    <col min="1827" max="1828" width="18.42578125" style="586" customWidth="1"/>
    <col min="1829" max="1829" width="17.28515625" style="586" customWidth="1"/>
    <col min="1830" max="1830" width="17.140625" style="586" customWidth="1"/>
    <col min="1831" max="1831" width="20.42578125" style="586" customWidth="1"/>
    <col min="1832" max="1834" width="17.140625" style="586" customWidth="1"/>
    <col min="1835" max="1835" width="19.7109375" style="586" customWidth="1"/>
    <col min="1836" max="1838" width="19" style="586" customWidth="1"/>
    <col min="1839" max="1839" width="21" style="586" customWidth="1"/>
    <col min="1840" max="1842" width="19.42578125" style="586" customWidth="1"/>
    <col min="1843" max="1843" width="21" style="586" customWidth="1"/>
    <col min="1844" max="1846" width="19.42578125" style="586" customWidth="1"/>
    <col min="1847" max="1847" width="21" style="586" customWidth="1"/>
    <col min="1848" max="1854" width="19.42578125" style="586" customWidth="1"/>
    <col min="1855" max="1855" width="21.42578125" style="586" customWidth="1"/>
    <col min="1856" max="1856" width="21" style="586" customWidth="1"/>
    <col min="1857" max="1857" width="22.140625" style="586" customWidth="1"/>
    <col min="1858" max="1858" width="21.7109375" style="586" customWidth="1"/>
    <col min="1859" max="1859" width="21.140625" style="586" customWidth="1"/>
    <col min="1860" max="1860" width="20.7109375" style="586" customWidth="1"/>
    <col min="1861" max="1862" width="19.42578125" style="586" customWidth="1"/>
    <col min="1863" max="1863" width="21.42578125" style="586" customWidth="1"/>
    <col min="1864" max="1878" width="19.42578125" style="586" customWidth="1"/>
    <col min="1879" max="1879" width="21.7109375" style="586" customWidth="1"/>
    <col min="1880" max="1890" width="19.42578125" style="586" customWidth="1"/>
    <col min="1891" max="1891" width="20.85546875" style="586" customWidth="1"/>
    <col min="1892" max="1894" width="20" style="586" customWidth="1"/>
    <col min="1895" max="1895" width="20.85546875" style="586" customWidth="1"/>
    <col min="1896" max="1898" width="20" style="586" customWidth="1"/>
    <col min="1899" max="1899" width="20.85546875" style="586" customWidth="1"/>
    <col min="1900" max="1902" width="20" style="586" customWidth="1"/>
    <col min="1903" max="1903" width="20.85546875" style="586" customWidth="1"/>
    <col min="1904" max="1906" width="20" style="586" customWidth="1"/>
    <col min="1907" max="1907" width="20.85546875" style="586" customWidth="1"/>
    <col min="1908" max="1910" width="20" style="586" customWidth="1"/>
    <col min="1911" max="1911" width="20.85546875" style="586" customWidth="1"/>
    <col min="1912" max="1914" width="20" style="586" customWidth="1"/>
    <col min="1915" max="1915" width="20.85546875" style="586" customWidth="1"/>
    <col min="1916" max="1918" width="20" style="586" customWidth="1"/>
    <col min="1919" max="1919" width="20.85546875" style="586" customWidth="1"/>
    <col min="1920" max="1922" width="20" style="586" customWidth="1"/>
    <col min="1923" max="1923" width="20.28515625" style="586" customWidth="1"/>
    <col min="1924" max="1924" width="25.42578125" style="586" customWidth="1"/>
    <col min="1925" max="1925" width="18" style="586" customWidth="1"/>
    <col min="1926" max="1926" width="19.140625" style="586" customWidth="1"/>
    <col min="1927" max="1927" width="21.85546875" style="586" customWidth="1"/>
    <col min="1928" max="1929" width="25.28515625" style="586" customWidth="1"/>
    <col min="1930" max="1930" width="24.42578125" style="586" customWidth="1"/>
    <col min="1931" max="1931" width="36.42578125" style="586" customWidth="1"/>
    <col min="1932" max="1932" width="11.42578125" style="586"/>
    <col min="1933" max="1933" width="19.7109375" style="586" bestFit="1" customWidth="1"/>
    <col min="1934" max="2056" width="11.42578125" style="586"/>
    <col min="2057" max="2057" width="54.140625" style="586" customWidth="1"/>
    <col min="2058" max="2058" width="22.85546875" style="586" customWidth="1"/>
    <col min="2059" max="2062" width="20.28515625" style="586" customWidth="1"/>
    <col min="2063" max="2070" width="18.28515625" style="586" customWidth="1"/>
    <col min="2071" max="2074" width="20.5703125" style="586" customWidth="1"/>
    <col min="2075" max="2075" width="20.28515625" style="586" customWidth="1"/>
    <col min="2076" max="2076" width="25.42578125" style="586" customWidth="1"/>
    <col min="2077" max="2077" width="18" style="586" customWidth="1"/>
    <col min="2078" max="2079" width="19.140625" style="586" customWidth="1"/>
    <col min="2080" max="2080" width="18" style="586" customWidth="1"/>
    <col min="2081" max="2082" width="20.140625" style="586" customWidth="1"/>
    <col min="2083" max="2084" width="18.42578125" style="586" customWidth="1"/>
    <col min="2085" max="2085" width="17.28515625" style="586" customWidth="1"/>
    <col min="2086" max="2086" width="17.140625" style="586" customWidth="1"/>
    <col min="2087" max="2087" width="20.42578125" style="586" customWidth="1"/>
    <col min="2088" max="2090" width="17.140625" style="586" customWidth="1"/>
    <col min="2091" max="2091" width="19.7109375" style="586" customWidth="1"/>
    <col min="2092" max="2094" width="19" style="586" customWidth="1"/>
    <col min="2095" max="2095" width="21" style="586" customWidth="1"/>
    <col min="2096" max="2098" width="19.42578125" style="586" customWidth="1"/>
    <col min="2099" max="2099" width="21" style="586" customWidth="1"/>
    <col min="2100" max="2102" width="19.42578125" style="586" customWidth="1"/>
    <col min="2103" max="2103" width="21" style="586" customWidth="1"/>
    <col min="2104" max="2110" width="19.42578125" style="586" customWidth="1"/>
    <col min="2111" max="2111" width="21.42578125" style="586" customWidth="1"/>
    <col min="2112" max="2112" width="21" style="586" customWidth="1"/>
    <col min="2113" max="2113" width="22.140625" style="586" customWidth="1"/>
    <col min="2114" max="2114" width="21.7109375" style="586" customWidth="1"/>
    <col min="2115" max="2115" width="21.140625" style="586" customWidth="1"/>
    <col min="2116" max="2116" width="20.7109375" style="586" customWidth="1"/>
    <col min="2117" max="2118" width="19.42578125" style="586" customWidth="1"/>
    <col min="2119" max="2119" width="21.42578125" style="586" customWidth="1"/>
    <col min="2120" max="2134" width="19.42578125" style="586" customWidth="1"/>
    <col min="2135" max="2135" width="21.7109375" style="586" customWidth="1"/>
    <col min="2136" max="2146" width="19.42578125" style="586" customWidth="1"/>
    <col min="2147" max="2147" width="20.85546875" style="586" customWidth="1"/>
    <col min="2148" max="2150" width="20" style="586" customWidth="1"/>
    <col min="2151" max="2151" width="20.85546875" style="586" customWidth="1"/>
    <col min="2152" max="2154" width="20" style="586" customWidth="1"/>
    <col min="2155" max="2155" width="20.85546875" style="586" customWidth="1"/>
    <col min="2156" max="2158" width="20" style="586" customWidth="1"/>
    <col min="2159" max="2159" width="20.85546875" style="586" customWidth="1"/>
    <col min="2160" max="2162" width="20" style="586" customWidth="1"/>
    <col min="2163" max="2163" width="20.85546875" style="586" customWidth="1"/>
    <col min="2164" max="2166" width="20" style="586" customWidth="1"/>
    <col min="2167" max="2167" width="20.85546875" style="586" customWidth="1"/>
    <col min="2168" max="2170" width="20" style="586" customWidth="1"/>
    <col min="2171" max="2171" width="20.85546875" style="586" customWidth="1"/>
    <col min="2172" max="2174" width="20" style="586" customWidth="1"/>
    <col min="2175" max="2175" width="20.85546875" style="586" customWidth="1"/>
    <col min="2176" max="2178" width="20" style="586" customWidth="1"/>
    <col min="2179" max="2179" width="20.28515625" style="586" customWidth="1"/>
    <col min="2180" max="2180" width="25.42578125" style="586" customWidth="1"/>
    <col min="2181" max="2181" width="18" style="586" customWidth="1"/>
    <col min="2182" max="2182" width="19.140625" style="586" customWidth="1"/>
    <col min="2183" max="2183" width="21.85546875" style="586" customWidth="1"/>
    <col min="2184" max="2185" width="25.28515625" style="586" customWidth="1"/>
    <col min="2186" max="2186" width="24.42578125" style="586" customWidth="1"/>
    <col min="2187" max="2187" width="36.42578125" style="586" customWidth="1"/>
    <col min="2188" max="2188" width="11.42578125" style="586"/>
    <col min="2189" max="2189" width="19.7109375" style="586" bestFit="1" customWidth="1"/>
    <col min="2190" max="2312" width="11.42578125" style="586"/>
    <col min="2313" max="2313" width="54.140625" style="586" customWidth="1"/>
    <col min="2314" max="2314" width="22.85546875" style="586" customWidth="1"/>
    <col min="2315" max="2318" width="20.28515625" style="586" customWidth="1"/>
    <col min="2319" max="2326" width="18.28515625" style="586" customWidth="1"/>
    <col min="2327" max="2330" width="20.5703125" style="586" customWidth="1"/>
    <col min="2331" max="2331" width="20.28515625" style="586" customWidth="1"/>
    <col min="2332" max="2332" width="25.42578125" style="586" customWidth="1"/>
    <col min="2333" max="2333" width="18" style="586" customWidth="1"/>
    <col min="2334" max="2335" width="19.140625" style="586" customWidth="1"/>
    <col min="2336" max="2336" width="18" style="586" customWidth="1"/>
    <col min="2337" max="2338" width="20.140625" style="586" customWidth="1"/>
    <col min="2339" max="2340" width="18.42578125" style="586" customWidth="1"/>
    <col min="2341" max="2341" width="17.28515625" style="586" customWidth="1"/>
    <col min="2342" max="2342" width="17.140625" style="586" customWidth="1"/>
    <col min="2343" max="2343" width="20.42578125" style="586" customWidth="1"/>
    <col min="2344" max="2346" width="17.140625" style="586" customWidth="1"/>
    <col min="2347" max="2347" width="19.7109375" style="586" customWidth="1"/>
    <col min="2348" max="2350" width="19" style="586" customWidth="1"/>
    <col min="2351" max="2351" width="21" style="586" customWidth="1"/>
    <col min="2352" max="2354" width="19.42578125" style="586" customWidth="1"/>
    <col min="2355" max="2355" width="21" style="586" customWidth="1"/>
    <col min="2356" max="2358" width="19.42578125" style="586" customWidth="1"/>
    <col min="2359" max="2359" width="21" style="586" customWidth="1"/>
    <col min="2360" max="2366" width="19.42578125" style="586" customWidth="1"/>
    <col min="2367" max="2367" width="21.42578125" style="586" customWidth="1"/>
    <col min="2368" max="2368" width="21" style="586" customWidth="1"/>
    <col min="2369" max="2369" width="22.140625" style="586" customWidth="1"/>
    <col min="2370" max="2370" width="21.7109375" style="586" customWidth="1"/>
    <col min="2371" max="2371" width="21.140625" style="586" customWidth="1"/>
    <col min="2372" max="2372" width="20.7109375" style="586" customWidth="1"/>
    <col min="2373" max="2374" width="19.42578125" style="586" customWidth="1"/>
    <col min="2375" max="2375" width="21.42578125" style="586" customWidth="1"/>
    <col min="2376" max="2390" width="19.42578125" style="586" customWidth="1"/>
    <col min="2391" max="2391" width="21.7109375" style="586" customWidth="1"/>
    <col min="2392" max="2402" width="19.42578125" style="586" customWidth="1"/>
    <col min="2403" max="2403" width="20.85546875" style="586" customWidth="1"/>
    <col min="2404" max="2406" width="20" style="586" customWidth="1"/>
    <col min="2407" max="2407" width="20.85546875" style="586" customWidth="1"/>
    <col min="2408" max="2410" width="20" style="586" customWidth="1"/>
    <col min="2411" max="2411" width="20.85546875" style="586" customWidth="1"/>
    <col min="2412" max="2414" width="20" style="586" customWidth="1"/>
    <col min="2415" max="2415" width="20.85546875" style="586" customWidth="1"/>
    <col min="2416" max="2418" width="20" style="586" customWidth="1"/>
    <col min="2419" max="2419" width="20.85546875" style="586" customWidth="1"/>
    <col min="2420" max="2422" width="20" style="586" customWidth="1"/>
    <col min="2423" max="2423" width="20.85546875" style="586" customWidth="1"/>
    <col min="2424" max="2426" width="20" style="586" customWidth="1"/>
    <col min="2427" max="2427" width="20.85546875" style="586" customWidth="1"/>
    <col min="2428" max="2430" width="20" style="586" customWidth="1"/>
    <col min="2431" max="2431" width="20.85546875" style="586" customWidth="1"/>
    <col min="2432" max="2434" width="20" style="586" customWidth="1"/>
    <col min="2435" max="2435" width="20.28515625" style="586" customWidth="1"/>
    <col min="2436" max="2436" width="25.42578125" style="586" customWidth="1"/>
    <col min="2437" max="2437" width="18" style="586" customWidth="1"/>
    <col min="2438" max="2438" width="19.140625" style="586" customWidth="1"/>
    <col min="2439" max="2439" width="21.85546875" style="586" customWidth="1"/>
    <col min="2440" max="2441" width="25.28515625" style="586" customWidth="1"/>
    <col min="2442" max="2442" width="24.42578125" style="586" customWidth="1"/>
    <col min="2443" max="2443" width="36.42578125" style="586" customWidth="1"/>
    <col min="2444" max="2444" width="11.42578125" style="586"/>
    <col min="2445" max="2445" width="19.7109375" style="586" bestFit="1" customWidth="1"/>
    <col min="2446" max="2568" width="11.42578125" style="586"/>
    <col min="2569" max="2569" width="54.140625" style="586" customWidth="1"/>
    <col min="2570" max="2570" width="22.85546875" style="586" customWidth="1"/>
    <col min="2571" max="2574" width="20.28515625" style="586" customWidth="1"/>
    <col min="2575" max="2582" width="18.28515625" style="586" customWidth="1"/>
    <col min="2583" max="2586" width="20.5703125" style="586" customWidth="1"/>
    <col min="2587" max="2587" width="20.28515625" style="586" customWidth="1"/>
    <col min="2588" max="2588" width="25.42578125" style="586" customWidth="1"/>
    <col min="2589" max="2589" width="18" style="586" customWidth="1"/>
    <col min="2590" max="2591" width="19.140625" style="586" customWidth="1"/>
    <col min="2592" max="2592" width="18" style="586" customWidth="1"/>
    <col min="2593" max="2594" width="20.140625" style="586" customWidth="1"/>
    <col min="2595" max="2596" width="18.42578125" style="586" customWidth="1"/>
    <col min="2597" max="2597" width="17.28515625" style="586" customWidth="1"/>
    <col min="2598" max="2598" width="17.140625" style="586" customWidth="1"/>
    <col min="2599" max="2599" width="20.42578125" style="586" customWidth="1"/>
    <col min="2600" max="2602" width="17.140625" style="586" customWidth="1"/>
    <col min="2603" max="2603" width="19.7109375" style="586" customWidth="1"/>
    <col min="2604" max="2606" width="19" style="586" customWidth="1"/>
    <col min="2607" max="2607" width="21" style="586" customWidth="1"/>
    <col min="2608" max="2610" width="19.42578125" style="586" customWidth="1"/>
    <col min="2611" max="2611" width="21" style="586" customWidth="1"/>
    <col min="2612" max="2614" width="19.42578125" style="586" customWidth="1"/>
    <col min="2615" max="2615" width="21" style="586" customWidth="1"/>
    <col min="2616" max="2622" width="19.42578125" style="586" customWidth="1"/>
    <col min="2623" max="2623" width="21.42578125" style="586" customWidth="1"/>
    <col min="2624" max="2624" width="21" style="586" customWidth="1"/>
    <col min="2625" max="2625" width="22.140625" style="586" customWidth="1"/>
    <col min="2626" max="2626" width="21.7109375" style="586" customWidth="1"/>
    <col min="2627" max="2627" width="21.140625" style="586" customWidth="1"/>
    <col min="2628" max="2628" width="20.7109375" style="586" customWidth="1"/>
    <col min="2629" max="2630" width="19.42578125" style="586" customWidth="1"/>
    <col min="2631" max="2631" width="21.42578125" style="586" customWidth="1"/>
    <col min="2632" max="2646" width="19.42578125" style="586" customWidth="1"/>
    <col min="2647" max="2647" width="21.7109375" style="586" customWidth="1"/>
    <col min="2648" max="2658" width="19.42578125" style="586" customWidth="1"/>
    <col min="2659" max="2659" width="20.85546875" style="586" customWidth="1"/>
    <col min="2660" max="2662" width="20" style="586" customWidth="1"/>
    <col min="2663" max="2663" width="20.85546875" style="586" customWidth="1"/>
    <col min="2664" max="2666" width="20" style="586" customWidth="1"/>
    <col min="2667" max="2667" width="20.85546875" style="586" customWidth="1"/>
    <col min="2668" max="2670" width="20" style="586" customWidth="1"/>
    <col min="2671" max="2671" width="20.85546875" style="586" customWidth="1"/>
    <col min="2672" max="2674" width="20" style="586" customWidth="1"/>
    <col min="2675" max="2675" width="20.85546875" style="586" customWidth="1"/>
    <col min="2676" max="2678" width="20" style="586" customWidth="1"/>
    <col min="2679" max="2679" width="20.85546875" style="586" customWidth="1"/>
    <col min="2680" max="2682" width="20" style="586" customWidth="1"/>
    <col min="2683" max="2683" width="20.85546875" style="586" customWidth="1"/>
    <col min="2684" max="2686" width="20" style="586" customWidth="1"/>
    <col min="2687" max="2687" width="20.85546875" style="586" customWidth="1"/>
    <col min="2688" max="2690" width="20" style="586" customWidth="1"/>
    <col min="2691" max="2691" width="20.28515625" style="586" customWidth="1"/>
    <col min="2692" max="2692" width="25.42578125" style="586" customWidth="1"/>
    <col min="2693" max="2693" width="18" style="586" customWidth="1"/>
    <col min="2694" max="2694" width="19.140625" style="586" customWidth="1"/>
    <col min="2695" max="2695" width="21.85546875" style="586" customWidth="1"/>
    <col min="2696" max="2697" width="25.28515625" style="586" customWidth="1"/>
    <col min="2698" max="2698" width="24.42578125" style="586" customWidth="1"/>
    <col min="2699" max="2699" width="36.42578125" style="586" customWidth="1"/>
    <col min="2700" max="2700" width="11.42578125" style="586"/>
    <col min="2701" max="2701" width="19.7109375" style="586" bestFit="1" customWidth="1"/>
    <col min="2702" max="2824" width="11.42578125" style="586"/>
    <col min="2825" max="2825" width="54.140625" style="586" customWidth="1"/>
    <col min="2826" max="2826" width="22.85546875" style="586" customWidth="1"/>
    <col min="2827" max="2830" width="20.28515625" style="586" customWidth="1"/>
    <col min="2831" max="2838" width="18.28515625" style="586" customWidth="1"/>
    <col min="2839" max="2842" width="20.5703125" style="586" customWidth="1"/>
    <col min="2843" max="2843" width="20.28515625" style="586" customWidth="1"/>
    <col min="2844" max="2844" width="25.42578125" style="586" customWidth="1"/>
    <col min="2845" max="2845" width="18" style="586" customWidth="1"/>
    <col min="2846" max="2847" width="19.140625" style="586" customWidth="1"/>
    <col min="2848" max="2848" width="18" style="586" customWidth="1"/>
    <col min="2849" max="2850" width="20.140625" style="586" customWidth="1"/>
    <col min="2851" max="2852" width="18.42578125" style="586" customWidth="1"/>
    <col min="2853" max="2853" width="17.28515625" style="586" customWidth="1"/>
    <col min="2854" max="2854" width="17.140625" style="586" customWidth="1"/>
    <col min="2855" max="2855" width="20.42578125" style="586" customWidth="1"/>
    <col min="2856" max="2858" width="17.140625" style="586" customWidth="1"/>
    <col min="2859" max="2859" width="19.7109375" style="586" customWidth="1"/>
    <col min="2860" max="2862" width="19" style="586" customWidth="1"/>
    <col min="2863" max="2863" width="21" style="586" customWidth="1"/>
    <col min="2864" max="2866" width="19.42578125" style="586" customWidth="1"/>
    <col min="2867" max="2867" width="21" style="586" customWidth="1"/>
    <col min="2868" max="2870" width="19.42578125" style="586" customWidth="1"/>
    <col min="2871" max="2871" width="21" style="586" customWidth="1"/>
    <col min="2872" max="2878" width="19.42578125" style="586" customWidth="1"/>
    <col min="2879" max="2879" width="21.42578125" style="586" customWidth="1"/>
    <col min="2880" max="2880" width="21" style="586" customWidth="1"/>
    <col min="2881" max="2881" width="22.140625" style="586" customWidth="1"/>
    <col min="2882" max="2882" width="21.7109375" style="586" customWidth="1"/>
    <col min="2883" max="2883" width="21.140625" style="586" customWidth="1"/>
    <col min="2884" max="2884" width="20.7109375" style="586" customWidth="1"/>
    <col min="2885" max="2886" width="19.42578125" style="586" customWidth="1"/>
    <col min="2887" max="2887" width="21.42578125" style="586" customWidth="1"/>
    <col min="2888" max="2902" width="19.42578125" style="586" customWidth="1"/>
    <col min="2903" max="2903" width="21.7109375" style="586" customWidth="1"/>
    <col min="2904" max="2914" width="19.42578125" style="586" customWidth="1"/>
    <col min="2915" max="2915" width="20.85546875" style="586" customWidth="1"/>
    <col min="2916" max="2918" width="20" style="586" customWidth="1"/>
    <col min="2919" max="2919" width="20.85546875" style="586" customWidth="1"/>
    <col min="2920" max="2922" width="20" style="586" customWidth="1"/>
    <col min="2923" max="2923" width="20.85546875" style="586" customWidth="1"/>
    <col min="2924" max="2926" width="20" style="586" customWidth="1"/>
    <col min="2927" max="2927" width="20.85546875" style="586" customWidth="1"/>
    <col min="2928" max="2930" width="20" style="586" customWidth="1"/>
    <col min="2931" max="2931" width="20.85546875" style="586" customWidth="1"/>
    <col min="2932" max="2934" width="20" style="586" customWidth="1"/>
    <col min="2935" max="2935" width="20.85546875" style="586" customWidth="1"/>
    <col min="2936" max="2938" width="20" style="586" customWidth="1"/>
    <col min="2939" max="2939" width="20.85546875" style="586" customWidth="1"/>
    <col min="2940" max="2942" width="20" style="586" customWidth="1"/>
    <col min="2943" max="2943" width="20.85546875" style="586" customWidth="1"/>
    <col min="2944" max="2946" width="20" style="586" customWidth="1"/>
    <col min="2947" max="2947" width="20.28515625" style="586" customWidth="1"/>
    <col min="2948" max="2948" width="25.42578125" style="586" customWidth="1"/>
    <col min="2949" max="2949" width="18" style="586" customWidth="1"/>
    <col min="2950" max="2950" width="19.140625" style="586" customWidth="1"/>
    <col min="2951" max="2951" width="21.85546875" style="586" customWidth="1"/>
    <col min="2952" max="2953" width="25.28515625" style="586" customWidth="1"/>
    <col min="2954" max="2954" width="24.42578125" style="586" customWidth="1"/>
    <col min="2955" max="2955" width="36.42578125" style="586" customWidth="1"/>
    <col min="2956" max="2956" width="11.42578125" style="586"/>
    <col min="2957" max="2957" width="19.7109375" style="586" bestFit="1" customWidth="1"/>
    <col min="2958" max="3080" width="11.42578125" style="586"/>
    <col min="3081" max="3081" width="54.140625" style="586" customWidth="1"/>
    <col min="3082" max="3082" width="22.85546875" style="586" customWidth="1"/>
    <col min="3083" max="3086" width="20.28515625" style="586" customWidth="1"/>
    <col min="3087" max="3094" width="18.28515625" style="586" customWidth="1"/>
    <col min="3095" max="3098" width="20.5703125" style="586" customWidth="1"/>
    <col min="3099" max="3099" width="20.28515625" style="586" customWidth="1"/>
    <col min="3100" max="3100" width="25.42578125" style="586" customWidth="1"/>
    <col min="3101" max="3101" width="18" style="586" customWidth="1"/>
    <col min="3102" max="3103" width="19.140625" style="586" customWidth="1"/>
    <col min="3104" max="3104" width="18" style="586" customWidth="1"/>
    <col min="3105" max="3106" width="20.140625" style="586" customWidth="1"/>
    <col min="3107" max="3108" width="18.42578125" style="586" customWidth="1"/>
    <col min="3109" max="3109" width="17.28515625" style="586" customWidth="1"/>
    <col min="3110" max="3110" width="17.140625" style="586" customWidth="1"/>
    <col min="3111" max="3111" width="20.42578125" style="586" customWidth="1"/>
    <col min="3112" max="3114" width="17.140625" style="586" customWidth="1"/>
    <col min="3115" max="3115" width="19.7109375" style="586" customWidth="1"/>
    <col min="3116" max="3118" width="19" style="586" customWidth="1"/>
    <col min="3119" max="3119" width="21" style="586" customWidth="1"/>
    <col min="3120" max="3122" width="19.42578125" style="586" customWidth="1"/>
    <col min="3123" max="3123" width="21" style="586" customWidth="1"/>
    <col min="3124" max="3126" width="19.42578125" style="586" customWidth="1"/>
    <col min="3127" max="3127" width="21" style="586" customWidth="1"/>
    <col min="3128" max="3134" width="19.42578125" style="586" customWidth="1"/>
    <col min="3135" max="3135" width="21.42578125" style="586" customWidth="1"/>
    <col min="3136" max="3136" width="21" style="586" customWidth="1"/>
    <col min="3137" max="3137" width="22.140625" style="586" customWidth="1"/>
    <col min="3138" max="3138" width="21.7109375" style="586" customWidth="1"/>
    <col min="3139" max="3139" width="21.140625" style="586" customWidth="1"/>
    <col min="3140" max="3140" width="20.7109375" style="586" customWidth="1"/>
    <col min="3141" max="3142" width="19.42578125" style="586" customWidth="1"/>
    <col min="3143" max="3143" width="21.42578125" style="586" customWidth="1"/>
    <col min="3144" max="3158" width="19.42578125" style="586" customWidth="1"/>
    <col min="3159" max="3159" width="21.7109375" style="586" customWidth="1"/>
    <col min="3160" max="3170" width="19.42578125" style="586" customWidth="1"/>
    <col min="3171" max="3171" width="20.85546875" style="586" customWidth="1"/>
    <col min="3172" max="3174" width="20" style="586" customWidth="1"/>
    <col min="3175" max="3175" width="20.85546875" style="586" customWidth="1"/>
    <col min="3176" max="3178" width="20" style="586" customWidth="1"/>
    <col min="3179" max="3179" width="20.85546875" style="586" customWidth="1"/>
    <col min="3180" max="3182" width="20" style="586" customWidth="1"/>
    <col min="3183" max="3183" width="20.85546875" style="586" customWidth="1"/>
    <col min="3184" max="3186" width="20" style="586" customWidth="1"/>
    <col min="3187" max="3187" width="20.85546875" style="586" customWidth="1"/>
    <col min="3188" max="3190" width="20" style="586" customWidth="1"/>
    <col min="3191" max="3191" width="20.85546875" style="586" customWidth="1"/>
    <col min="3192" max="3194" width="20" style="586" customWidth="1"/>
    <col min="3195" max="3195" width="20.85546875" style="586" customWidth="1"/>
    <col min="3196" max="3198" width="20" style="586" customWidth="1"/>
    <col min="3199" max="3199" width="20.85546875" style="586" customWidth="1"/>
    <col min="3200" max="3202" width="20" style="586" customWidth="1"/>
    <col min="3203" max="3203" width="20.28515625" style="586" customWidth="1"/>
    <col min="3204" max="3204" width="25.42578125" style="586" customWidth="1"/>
    <col min="3205" max="3205" width="18" style="586" customWidth="1"/>
    <col min="3206" max="3206" width="19.140625" style="586" customWidth="1"/>
    <col min="3207" max="3207" width="21.85546875" style="586" customWidth="1"/>
    <col min="3208" max="3209" width="25.28515625" style="586" customWidth="1"/>
    <col min="3210" max="3210" width="24.42578125" style="586" customWidth="1"/>
    <col min="3211" max="3211" width="36.42578125" style="586" customWidth="1"/>
    <col min="3212" max="3212" width="11.42578125" style="586"/>
    <col min="3213" max="3213" width="19.7109375" style="586" bestFit="1" customWidth="1"/>
    <col min="3214" max="3336" width="11.42578125" style="586"/>
    <col min="3337" max="3337" width="54.140625" style="586" customWidth="1"/>
    <col min="3338" max="3338" width="22.85546875" style="586" customWidth="1"/>
    <col min="3339" max="3342" width="20.28515625" style="586" customWidth="1"/>
    <col min="3343" max="3350" width="18.28515625" style="586" customWidth="1"/>
    <col min="3351" max="3354" width="20.5703125" style="586" customWidth="1"/>
    <col min="3355" max="3355" width="20.28515625" style="586" customWidth="1"/>
    <col min="3356" max="3356" width="25.42578125" style="586" customWidth="1"/>
    <col min="3357" max="3357" width="18" style="586" customWidth="1"/>
    <col min="3358" max="3359" width="19.140625" style="586" customWidth="1"/>
    <col min="3360" max="3360" width="18" style="586" customWidth="1"/>
    <col min="3361" max="3362" width="20.140625" style="586" customWidth="1"/>
    <col min="3363" max="3364" width="18.42578125" style="586" customWidth="1"/>
    <col min="3365" max="3365" width="17.28515625" style="586" customWidth="1"/>
    <col min="3366" max="3366" width="17.140625" style="586" customWidth="1"/>
    <col min="3367" max="3367" width="20.42578125" style="586" customWidth="1"/>
    <col min="3368" max="3370" width="17.140625" style="586" customWidth="1"/>
    <col min="3371" max="3371" width="19.7109375" style="586" customWidth="1"/>
    <col min="3372" max="3374" width="19" style="586" customWidth="1"/>
    <col min="3375" max="3375" width="21" style="586" customWidth="1"/>
    <col min="3376" max="3378" width="19.42578125" style="586" customWidth="1"/>
    <col min="3379" max="3379" width="21" style="586" customWidth="1"/>
    <col min="3380" max="3382" width="19.42578125" style="586" customWidth="1"/>
    <col min="3383" max="3383" width="21" style="586" customWidth="1"/>
    <col min="3384" max="3390" width="19.42578125" style="586" customWidth="1"/>
    <col min="3391" max="3391" width="21.42578125" style="586" customWidth="1"/>
    <col min="3392" max="3392" width="21" style="586" customWidth="1"/>
    <col min="3393" max="3393" width="22.140625" style="586" customWidth="1"/>
    <col min="3394" max="3394" width="21.7109375" style="586" customWidth="1"/>
    <col min="3395" max="3395" width="21.140625" style="586" customWidth="1"/>
    <col min="3396" max="3396" width="20.7109375" style="586" customWidth="1"/>
    <col min="3397" max="3398" width="19.42578125" style="586" customWidth="1"/>
    <col min="3399" max="3399" width="21.42578125" style="586" customWidth="1"/>
    <col min="3400" max="3414" width="19.42578125" style="586" customWidth="1"/>
    <col min="3415" max="3415" width="21.7109375" style="586" customWidth="1"/>
    <col min="3416" max="3426" width="19.42578125" style="586" customWidth="1"/>
    <col min="3427" max="3427" width="20.85546875" style="586" customWidth="1"/>
    <col min="3428" max="3430" width="20" style="586" customWidth="1"/>
    <col min="3431" max="3431" width="20.85546875" style="586" customWidth="1"/>
    <col min="3432" max="3434" width="20" style="586" customWidth="1"/>
    <col min="3435" max="3435" width="20.85546875" style="586" customWidth="1"/>
    <col min="3436" max="3438" width="20" style="586" customWidth="1"/>
    <col min="3439" max="3439" width="20.85546875" style="586" customWidth="1"/>
    <col min="3440" max="3442" width="20" style="586" customWidth="1"/>
    <col min="3443" max="3443" width="20.85546875" style="586" customWidth="1"/>
    <col min="3444" max="3446" width="20" style="586" customWidth="1"/>
    <col min="3447" max="3447" width="20.85546875" style="586" customWidth="1"/>
    <col min="3448" max="3450" width="20" style="586" customWidth="1"/>
    <col min="3451" max="3451" width="20.85546875" style="586" customWidth="1"/>
    <col min="3452" max="3454" width="20" style="586" customWidth="1"/>
    <col min="3455" max="3455" width="20.85546875" style="586" customWidth="1"/>
    <col min="3456" max="3458" width="20" style="586" customWidth="1"/>
    <col min="3459" max="3459" width="20.28515625" style="586" customWidth="1"/>
    <col min="3460" max="3460" width="25.42578125" style="586" customWidth="1"/>
    <col min="3461" max="3461" width="18" style="586" customWidth="1"/>
    <col min="3462" max="3462" width="19.140625" style="586" customWidth="1"/>
    <col min="3463" max="3463" width="21.85546875" style="586" customWidth="1"/>
    <col min="3464" max="3465" width="25.28515625" style="586" customWidth="1"/>
    <col min="3466" max="3466" width="24.42578125" style="586" customWidth="1"/>
    <col min="3467" max="3467" width="36.42578125" style="586" customWidth="1"/>
    <col min="3468" max="3468" width="11.42578125" style="586"/>
    <col min="3469" max="3469" width="19.7109375" style="586" bestFit="1" customWidth="1"/>
    <col min="3470" max="3592" width="11.42578125" style="586"/>
    <col min="3593" max="3593" width="54.140625" style="586" customWidth="1"/>
    <col min="3594" max="3594" width="22.85546875" style="586" customWidth="1"/>
    <col min="3595" max="3598" width="20.28515625" style="586" customWidth="1"/>
    <col min="3599" max="3606" width="18.28515625" style="586" customWidth="1"/>
    <col min="3607" max="3610" width="20.5703125" style="586" customWidth="1"/>
    <col min="3611" max="3611" width="20.28515625" style="586" customWidth="1"/>
    <col min="3612" max="3612" width="25.42578125" style="586" customWidth="1"/>
    <col min="3613" max="3613" width="18" style="586" customWidth="1"/>
    <col min="3614" max="3615" width="19.140625" style="586" customWidth="1"/>
    <col min="3616" max="3616" width="18" style="586" customWidth="1"/>
    <col min="3617" max="3618" width="20.140625" style="586" customWidth="1"/>
    <col min="3619" max="3620" width="18.42578125" style="586" customWidth="1"/>
    <col min="3621" max="3621" width="17.28515625" style="586" customWidth="1"/>
    <col min="3622" max="3622" width="17.140625" style="586" customWidth="1"/>
    <col min="3623" max="3623" width="20.42578125" style="586" customWidth="1"/>
    <col min="3624" max="3626" width="17.140625" style="586" customWidth="1"/>
    <col min="3627" max="3627" width="19.7109375" style="586" customWidth="1"/>
    <col min="3628" max="3630" width="19" style="586" customWidth="1"/>
    <col min="3631" max="3631" width="21" style="586" customWidth="1"/>
    <col min="3632" max="3634" width="19.42578125" style="586" customWidth="1"/>
    <col min="3635" max="3635" width="21" style="586" customWidth="1"/>
    <col min="3636" max="3638" width="19.42578125" style="586" customWidth="1"/>
    <col min="3639" max="3639" width="21" style="586" customWidth="1"/>
    <col min="3640" max="3646" width="19.42578125" style="586" customWidth="1"/>
    <col min="3647" max="3647" width="21.42578125" style="586" customWidth="1"/>
    <col min="3648" max="3648" width="21" style="586" customWidth="1"/>
    <col min="3649" max="3649" width="22.140625" style="586" customWidth="1"/>
    <col min="3650" max="3650" width="21.7109375" style="586" customWidth="1"/>
    <col min="3651" max="3651" width="21.140625" style="586" customWidth="1"/>
    <col min="3652" max="3652" width="20.7109375" style="586" customWidth="1"/>
    <col min="3653" max="3654" width="19.42578125" style="586" customWidth="1"/>
    <col min="3655" max="3655" width="21.42578125" style="586" customWidth="1"/>
    <col min="3656" max="3670" width="19.42578125" style="586" customWidth="1"/>
    <col min="3671" max="3671" width="21.7109375" style="586" customWidth="1"/>
    <col min="3672" max="3682" width="19.42578125" style="586" customWidth="1"/>
    <col min="3683" max="3683" width="20.85546875" style="586" customWidth="1"/>
    <col min="3684" max="3686" width="20" style="586" customWidth="1"/>
    <col min="3687" max="3687" width="20.85546875" style="586" customWidth="1"/>
    <col min="3688" max="3690" width="20" style="586" customWidth="1"/>
    <col min="3691" max="3691" width="20.85546875" style="586" customWidth="1"/>
    <col min="3692" max="3694" width="20" style="586" customWidth="1"/>
    <col min="3695" max="3695" width="20.85546875" style="586" customWidth="1"/>
    <col min="3696" max="3698" width="20" style="586" customWidth="1"/>
    <col min="3699" max="3699" width="20.85546875" style="586" customWidth="1"/>
    <col min="3700" max="3702" width="20" style="586" customWidth="1"/>
    <col min="3703" max="3703" width="20.85546875" style="586" customWidth="1"/>
    <col min="3704" max="3706" width="20" style="586" customWidth="1"/>
    <col min="3707" max="3707" width="20.85546875" style="586" customWidth="1"/>
    <col min="3708" max="3710" width="20" style="586" customWidth="1"/>
    <col min="3711" max="3711" width="20.85546875" style="586" customWidth="1"/>
    <col min="3712" max="3714" width="20" style="586" customWidth="1"/>
    <col min="3715" max="3715" width="20.28515625" style="586" customWidth="1"/>
    <col min="3716" max="3716" width="25.42578125" style="586" customWidth="1"/>
    <col min="3717" max="3717" width="18" style="586" customWidth="1"/>
    <col min="3718" max="3718" width="19.140625" style="586" customWidth="1"/>
    <col min="3719" max="3719" width="21.85546875" style="586" customWidth="1"/>
    <col min="3720" max="3721" width="25.28515625" style="586" customWidth="1"/>
    <col min="3722" max="3722" width="24.42578125" style="586" customWidth="1"/>
    <col min="3723" max="3723" width="36.42578125" style="586" customWidth="1"/>
    <col min="3724" max="3724" width="11.42578125" style="586"/>
    <col min="3725" max="3725" width="19.7109375" style="586" bestFit="1" customWidth="1"/>
    <col min="3726" max="3848" width="11.42578125" style="586"/>
    <col min="3849" max="3849" width="54.140625" style="586" customWidth="1"/>
    <col min="3850" max="3850" width="22.85546875" style="586" customWidth="1"/>
    <col min="3851" max="3854" width="20.28515625" style="586" customWidth="1"/>
    <col min="3855" max="3862" width="18.28515625" style="586" customWidth="1"/>
    <col min="3863" max="3866" width="20.5703125" style="586" customWidth="1"/>
    <col min="3867" max="3867" width="20.28515625" style="586" customWidth="1"/>
    <col min="3868" max="3868" width="25.42578125" style="586" customWidth="1"/>
    <col min="3869" max="3869" width="18" style="586" customWidth="1"/>
    <col min="3870" max="3871" width="19.140625" style="586" customWidth="1"/>
    <col min="3872" max="3872" width="18" style="586" customWidth="1"/>
    <col min="3873" max="3874" width="20.140625" style="586" customWidth="1"/>
    <col min="3875" max="3876" width="18.42578125" style="586" customWidth="1"/>
    <col min="3877" max="3877" width="17.28515625" style="586" customWidth="1"/>
    <col min="3878" max="3878" width="17.140625" style="586" customWidth="1"/>
    <col min="3879" max="3879" width="20.42578125" style="586" customWidth="1"/>
    <col min="3880" max="3882" width="17.140625" style="586" customWidth="1"/>
    <col min="3883" max="3883" width="19.7109375" style="586" customWidth="1"/>
    <col min="3884" max="3886" width="19" style="586" customWidth="1"/>
    <col min="3887" max="3887" width="21" style="586" customWidth="1"/>
    <col min="3888" max="3890" width="19.42578125" style="586" customWidth="1"/>
    <col min="3891" max="3891" width="21" style="586" customWidth="1"/>
    <col min="3892" max="3894" width="19.42578125" style="586" customWidth="1"/>
    <col min="3895" max="3895" width="21" style="586" customWidth="1"/>
    <col min="3896" max="3902" width="19.42578125" style="586" customWidth="1"/>
    <col min="3903" max="3903" width="21.42578125" style="586" customWidth="1"/>
    <col min="3904" max="3904" width="21" style="586" customWidth="1"/>
    <col min="3905" max="3905" width="22.140625" style="586" customWidth="1"/>
    <col min="3906" max="3906" width="21.7109375" style="586" customWidth="1"/>
    <col min="3907" max="3907" width="21.140625" style="586" customWidth="1"/>
    <col min="3908" max="3908" width="20.7109375" style="586" customWidth="1"/>
    <col min="3909" max="3910" width="19.42578125" style="586" customWidth="1"/>
    <col min="3911" max="3911" width="21.42578125" style="586" customWidth="1"/>
    <col min="3912" max="3926" width="19.42578125" style="586" customWidth="1"/>
    <col min="3927" max="3927" width="21.7109375" style="586" customWidth="1"/>
    <col min="3928" max="3938" width="19.42578125" style="586" customWidth="1"/>
    <col min="3939" max="3939" width="20.85546875" style="586" customWidth="1"/>
    <col min="3940" max="3942" width="20" style="586" customWidth="1"/>
    <col min="3943" max="3943" width="20.85546875" style="586" customWidth="1"/>
    <col min="3944" max="3946" width="20" style="586" customWidth="1"/>
    <col min="3947" max="3947" width="20.85546875" style="586" customWidth="1"/>
    <col min="3948" max="3950" width="20" style="586" customWidth="1"/>
    <col min="3951" max="3951" width="20.85546875" style="586" customWidth="1"/>
    <col min="3952" max="3954" width="20" style="586" customWidth="1"/>
    <col min="3955" max="3955" width="20.85546875" style="586" customWidth="1"/>
    <col min="3956" max="3958" width="20" style="586" customWidth="1"/>
    <col min="3959" max="3959" width="20.85546875" style="586" customWidth="1"/>
    <col min="3960" max="3962" width="20" style="586" customWidth="1"/>
    <col min="3963" max="3963" width="20.85546875" style="586" customWidth="1"/>
    <col min="3964" max="3966" width="20" style="586" customWidth="1"/>
    <col min="3967" max="3967" width="20.85546875" style="586" customWidth="1"/>
    <col min="3968" max="3970" width="20" style="586" customWidth="1"/>
    <col min="3971" max="3971" width="20.28515625" style="586" customWidth="1"/>
    <col min="3972" max="3972" width="25.42578125" style="586" customWidth="1"/>
    <col min="3973" max="3973" width="18" style="586" customWidth="1"/>
    <col min="3974" max="3974" width="19.140625" style="586" customWidth="1"/>
    <col min="3975" max="3975" width="21.85546875" style="586" customWidth="1"/>
    <col min="3976" max="3977" width="25.28515625" style="586" customWidth="1"/>
    <col min="3978" max="3978" width="24.42578125" style="586" customWidth="1"/>
    <col min="3979" max="3979" width="36.42578125" style="586" customWidth="1"/>
    <col min="3980" max="3980" width="11.42578125" style="586"/>
    <col min="3981" max="3981" width="19.7109375" style="586" bestFit="1" customWidth="1"/>
    <col min="3982" max="4104" width="11.42578125" style="586"/>
    <col min="4105" max="4105" width="54.140625" style="586" customWidth="1"/>
    <col min="4106" max="4106" width="22.85546875" style="586" customWidth="1"/>
    <col min="4107" max="4110" width="20.28515625" style="586" customWidth="1"/>
    <col min="4111" max="4118" width="18.28515625" style="586" customWidth="1"/>
    <col min="4119" max="4122" width="20.5703125" style="586" customWidth="1"/>
    <col min="4123" max="4123" width="20.28515625" style="586" customWidth="1"/>
    <col min="4124" max="4124" width="25.42578125" style="586" customWidth="1"/>
    <col min="4125" max="4125" width="18" style="586" customWidth="1"/>
    <col min="4126" max="4127" width="19.140625" style="586" customWidth="1"/>
    <col min="4128" max="4128" width="18" style="586" customWidth="1"/>
    <col min="4129" max="4130" width="20.140625" style="586" customWidth="1"/>
    <col min="4131" max="4132" width="18.42578125" style="586" customWidth="1"/>
    <col min="4133" max="4133" width="17.28515625" style="586" customWidth="1"/>
    <col min="4134" max="4134" width="17.140625" style="586" customWidth="1"/>
    <col min="4135" max="4135" width="20.42578125" style="586" customWidth="1"/>
    <col min="4136" max="4138" width="17.140625" style="586" customWidth="1"/>
    <col min="4139" max="4139" width="19.7109375" style="586" customWidth="1"/>
    <col min="4140" max="4142" width="19" style="586" customWidth="1"/>
    <col min="4143" max="4143" width="21" style="586" customWidth="1"/>
    <col min="4144" max="4146" width="19.42578125" style="586" customWidth="1"/>
    <col min="4147" max="4147" width="21" style="586" customWidth="1"/>
    <col min="4148" max="4150" width="19.42578125" style="586" customWidth="1"/>
    <col min="4151" max="4151" width="21" style="586" customWidth="1"/>
    <col min="4152" max="4158" width="19.42578125" style="586" customWidth="1"/>
    <col min="4159" max="4159" width="21.42578125" style="586" customWidth="1"/>
    <col min="4160" max="4160" width="21" style="586" customWidth="1"/>
    <col min="4161" max="4161" width="22.140625" style="586" customWidth="1"/>
    <col min="4162" max="4162" width="21.7109375" style="586" customWidth="1"/>
    <col min="4163" max="4163" width="21.140625" style="586" customWidth="1"/>
    <col min="4164" max="4164" width="20.7109375" style="586" customWidth="1"/>
    <col min="4165" max="4166" width="19.42578125" style="586" customWidth="1"/>
    <col min="4167" max="4167" width="21.42578125" style="586" customWidth="1"/>
    <col min="4168" max="4182" width="19.42578125" style="586" customWidth="1"/>
    <col min="4183" max="4183" width="21.7109375" style="586" customWidth="1"/>
    <col min="4184" max="4194" width="19.42578125" style="586" customWidth="1"/>
    <col min="4195" max="4195" width="20.85546875" style="586" customWidth="1"/>
    <col min="4196" max="4198" width="20" style="586" customWidth="1"/>
    <col min="4199" max="4199" width="20.85546875" style="586" customWidth="1"/>
    <col min="4200" max="4202" width="20" style="586" customWidth="1"/>
    <col min="4203" max="4203" width="20.85546875" style="586" customWidth="1"/>
    <col min="4204" max="4206" width="20" style="586" customWidth="1"/>
    <col min="4207" max="4207" width="20.85546875" style="586" customWidth="1"/>
    <col min="4208" max="4210" width="20" style="586" customWidth="1"/>
    <col min="4211" max="4211" width="20.85546875" style="586" customWidth="1"/>
    <col min="4212" max="4214" width="20" style="586" customWidth="1"/>
    <col min="4215" max="4215" width="20.85546875" style="586" customWidth="1"/>
    <col min="4216" max="4218" width="20" style="586" customWidth="1"/>
    <col min="4219" max="4219" width="20.85546875" style="586" customWidth="1"/>
    <col min="4220" max="4222" width="20" style="586" customWidth="1"/>
    <col min="4223" max="4223" width="20.85546875" style="586" customWidth="1"/>
    <col min="4224" max="4226" width="20" style="586" customWidth="1"/>
    <col min="4227" max="4227" width="20.28515625" style="586" customWidth="1"/>
    <col min="4228" max="4228" width="25.42578125" style="586" customWidth="1"/>
    <col min="4229" max="4229" width="18" style="586" customWidth="1"/>
    <col min="4230" max="4230" width="19.140625" style="586" customWidth="1"/>
    <col min="4231" max="4231" width="21.85546875" style="586" customWidth="1"/>
    <col min="4232" max="4233" width="25.28515625" style="586" customWidth="1"/>
    <col min="4234" max="4234" width="24.42578125" style="586" customWidth="1"/>
    <col min="4235" max="4235" width="36.42578125" style="586" customWidth="1"/>
    <col min="4236" max="4236" width="11.42578125" style="586"/>
    <col min="4237" max="4237" width="19.7109375" style="586" bestFit="1" customWidth="1"/>
    <col min="4238" max="4360" width="11.42578125" style="586"/>
    <col min="4361" max="4361" width="54.140625" style="586" customWidth="1"/>
    <col min="4362" max="4362" width="22.85546875" style="586" customWidth="1"/>
    <col min="4363" max="4366" width="20.28515625" style="586" customWidth="1"/>
    <col min="4367" max="4374" width="18.28515625" style="586" customWidth="1"/>
    <col min="4375" max="4378" width="20.5703125" style="586" customWidth="1"/>
    <col min="4379" max="4379" width="20.28515625" style="586" customWidth="1"/>
    <col min="4380" max="4380" width="25.42578125" style="586" customWidth="1"/>
    <col min="4381" max="4381" width="18" style="586" customWidth="1"/>
    <col min="4382" max="4383" width="19.140625" style="586" customWidth="1"/>
    <col min="4384" max="4384" width="18" style="586" customWidth="1"/>
    <col min="4385" max="4386" width="20.140625" style="586" customWidth="1"/>
    <col min="4387" max="4388" width="18.42578125" style="586" customWidth="1"/>
    <col min="4389" max="4389" width="17.28515625" style="586" customWidth="1"/>
    <col min="4390" max="4390" width="17.140625" style="586" customWidth="1"/>
    <col min="4391" max="4391" width="20.42578125" style="586" customWidth="1"/>
    <col min="4392" max="4394" width="17.140625" style="586" customWidth="1"/>
    <col min="4395" max="4395" width="19.7109375" style="586" customWidth="1"/>
    <col min="4396" max="4398" width="19" style="586" customWidth="1"/>
    <col min="4399" max="4399" width="21" style="586" customWidth="1"/>
    <col min="4400" max="4402" width="19.42578125" style="586" customWidth="1"/>
    <col min="4403" max="4403" width="21" style="586" customWidth="1"/>
    <col min="4404" max="4406" width="19.42578125" style="586" customWidth="1"/>
    <col min="4407" max="4407" width="21" style="586" customWidth="1"/>
    <col min="4408" max="4414" width="19.42578125" style="586" customWidth="1"/>
    <col min="4415" max="4415" width="21.42578125" style="586" customWidth="1"/>
    <col min="4416" max="4416" width="21" style="586" customWidth="1"/>
    <col min="4417" max="4417" width="22.140625" style="586" customWidth="1"/>
    <col min="4418" max="4418" width="21.7109375" style="586" customWidth="1"/>
    <col min="4419" max="4419" width="21.140625" style="586" customWidth="1"/>
    <col min="4420" max="4420" width="20.7109375" style="586" customWidth="1"/>
    <col min="4421" max="4422" width="19.42578125" style="586" customWidth="1"/>
    <col min="4423" max="4423" width="21.42578125" style="586" customWidth="1"/>
    <col min="4424" max="4438" width="19.42578125" style="586" customWidth="1"/>
    <col min="4439" max="4439" width="21.7109375" style="586" customWidth="1"/>
    <col min="4440" max="4450" width="19.42578125" style="586" customWidth="1"/>
    <col min="4451" max="4451" width="20.85546875" style="586" customWidth="1"/>
    <col min="4452" max="4454" width="20" style="586" customWidth="1"/>
    <col min="4455" max="4455" width="20.85546875" style="586" customWidth="1"/>
    <col min="4456" max="4458" width="20" style="586" customWidth="1"/>
    <col min="4459" max="4459" width="20.85546875" style="586" customWidth="1"/>
    <col min="4460" max="4462" width="20" style="586" customWidth="1"/>
    <col min="4463" max="4463" width="20.85546875" style="586" customWidth="1"/>
    <col min="4464" max="4466" width="20" style="586" customWidth="1"/>
    <col min="4467" max="4467" width="20.85546875" style="586" customWidth="1"/>
    <col min="4468" max="4470" width="20" style="586" customWidth="1"/>
    <col min="4471" max="4471" width="20.85546875" style="586" customWidth="1"/>
    <col min="4472" max="4474" width="20" style="586" customWidth="1"/>
    <col min="4475" max="4475" width="20.85546875" style="586" customWidth="1"/>
    <col min="4476" max="4478" width="20" style="586" customWidth="1"/>
    <col min="4479" max="4479" width="20.85546875" style="586" customWidth="1"/>
    <col min="4480" max="4482" width="20" style="586" customWidth="1"/>
    <col min="4483" max="4483" width="20.28515625" style="586" customWidth="1"/>
    <col min="4484" max="4484" width="25.42578125" style="586" customWidth="1"/>
    <col min="4485" max="4485" width="18" style="586" customWidth="1"/>
    <col min="4486" max="4486" width="19.140625" style="586" customWidth="1"/>
    <col min="4487" max="4487" width="21.85546875" style="586" customWidth="1"/>
    <col min="4488" max="4489" width="25.28515625" style="586" customWidth="1"/>
    <col min="4490" max="4490" width="24.42578125" style="586" customWidth="1"/>
    <col min="4491" max="4491" width="36.42578125" style="586" customWidth="1"/>
    <col min="4492" max="4492" width="11.42578125" style="586"/>
    <col min="4493" max="4493" width="19.7109375" style="586" bestFit="1" customWidth="1"/>
    <col min="4494" max="4616" width="11.42578125" style="586"/>
    <col min="4617" max="4617" width="54.140625" style="586" customWidth="1"/>
    <col min="4618" max="4618" width="22.85546875" style="586" customWidth="1"/>
    <col min="4619" max="4622" width="20.28515625" style="586" customWidth="1"/>
    <col min="4623" max="4630" width="18.28515625" style="586" customWidth="1"/>
    <col min="4631" max="4634" width="20.5703125" style="586" customWidth="1"/>
    <col min="4635" max="4635" width="20.28515625" style="586" customWidth="1"/>
    <col min="4636" max="4636" width="25.42578125" style="586" customWidth="1"/>
    <col min="4637" max="4637" width="18" style="586" customWidth="1"/>
    <col min="4638" max="4639" width="19.140625" style="586" customWidth="1"/>
    <col min="4640" max="4640" width="18" style="586" customWidth="1"/>
    <col min="4641" max="4642" width="20.140625" style="586" customWidth="1"/>
    <col min="4643" max="4644" width="18.42578125" style="586" customWidth="1"/>
    <col min="4645" max="4645" width="17.28515625" style="586" customWidth="1"/>
    <col min="4646" max="4646" width="17.140625" style="586" customWidth="1"/>
    <col min="4647" max="4647" width="20.42578125" style="586" customWidth="1"/>
    <col min="4648" max="4650" width="17.140625" style="586" customWidth="1"/>
    <col min="4651" max="4651" width="19.7109375" style="586" customWidth="1"/>
    <col min="4652" max="4654" width="19" style="586" customWidth="1"/>
    <col min="4655" max="4655" width="21" style="586" customWidth="1"/>
    <col min="4656" max="4658" width="19.42578125" style="586" customWidth="1"/>
    <col min="4659" max="4659" width="21" style="586" customWidth="1"/>
    <col min="4660" max="4662" width="19.42578125" style="586" customWidth="1"/>
    <col min="4663" max="4663" width="21" style="586" customWidth="1"/>
    <col min="4664" max="4670" width="19.42578125" style="586" customWidth="1"/>
    <col min="4671" max="4671" width="21.42578125" style="586" customWidth="1"/>
    <col min="4672" max="4672" width="21" style="586" customWidth="1"/>
    <col min="4673" max="4673" width="22.140625" style="586" customWidth="1"/>
    <col min="4674" max="4674" width="21.7109375" style="586" customWidth="1"/>
    <col min="4675" max="4675" width="21.140625" style="586" customWidth="1"/>
    <col min="4676" max="4676" width="20.7109375" style="586" customWidth="1"/>
    <col min="4677" max="4678" width="19.42578125" style="586" customWidth="1"/>
    <col min="4679" max="4679" width="21.42578125" style="586" customWidth="1"/>
    <col min="4680" max="4694" width="19.42578125" style="586" customWidth="1"/>
    <col min="4695" max="4695" width="21.7109375" style="586" customWidth="1"/>
    <col min="4696" max="4706" width="19.42578125" style="586" customWidth="1"/>
    <col min="4707" max="4707" width="20.85546875" style="586" customWidth="1"/>
    <col min="4708" max="4710" width="20" style="586" customWidth="1"/>
    <col min="4711" max="4711" width="20.85546875" style="586" customWidth="1"/>
    <col min="4712" max="4714" width="20" style="586" customWidth="1"/>
    <col min="4715" max="4715" width="20.85546875" style="586" customWidth="1"/>
    <col min="4716" max="4718" width="20" style="586" customWidth="1"/>
    <col min="4719" max="4719" width="20.85546875" style="586" customWidth="1"/>
    <col min="4720" max="4722" width="20" style="586" customWidth="1"/>
    <col min="4723" max="4723" width="20.85546875" style="586" customWidth="1"/>
    <col min="4724" max="4726" width="20" style="586" customWidth="1"/>
    <col min="4727" max="4727" width="20.85546875" style="586" customWidth="1"/>
    <col min="4728" max="4730" width="20" style="586" customWidth="1"/>
    <col min="4731" max="4731" width="20.85546875" style="586" customWidth="1"/>
    <col min="4732" max="4734" width="20" style="586" customWidth="1"/>
    <col min="4735" max="4735" width="20.85546875" style="586" customWidth="1"/>
    <col min="4736" max="4738" width="20" style="586" customWidth="1"/>
    <col min="4739" max="4739" width="20.28515625" style="586" customWidth="1"/>
    <col min="4740" max="4740" width="25.42578125" style="586" customWidth="1"/>
    <col min="4741" max="4741" width="18" style="586" customWidth="1"/>
    <col min="4742" max="4742" width="19.140625" style="586" customWidth="1"/>
    <col min="4743" max="4743" width="21.85546875" style="586" customWidth="1"/>
    <col min="4744" max="4745" width="25.28515625" style="586" customWidth="1"/>
    <col min="4746" max="4746" width="24.42578125" style="586" customWidth="1"/>
    <col min="4747" max="4747" width="36.42578125" style="586" customWidth="1"/>
    <col min="4748" max="4748" width="11.42578125" style="586"/>
    <col min="4749" max="4749" width="19.7109375" style="586" bestFit="1" customWidth="1"/>
    <col min="4750" max="4872" width="11.42578125" style="586"/>
    <col min="4873" max="4873" width="54.140625" style="586" customWidth="1"/>
    <col min="4874" max="4874" width="22.85546875" style="586" customWidth="1"/>
    <col min="4875" max="4878" width="20.28515625" style="586" customWidth="1"/>
    <col min="4879" max="4886" width="18.28515625" style="586" customWidth="1"/>
    <col min="4887" max="4890" width="20.5703125" style="586" customWidth="1"/>
    <col min="4891" max="4891" width="20.28515625" style="586" customWidth="1"/>
    <col min="4892" max="4892" width="25.42578125" style="586" customWidth="1"/>
    <col min="4893" max="4893" width="18" style="586" customWidth="1"/>
    <col min="4894" max="4895" width="19.140625" style="586" customWidth="1"/>
    <col min="4896" max="4896" width="18" style="586" customWidth="1"/>
    <col min="4897" max="4898" width="20.140625" style="586" customWidth="1"/>
    <col min="4899" max="4900" width="18.42578125" style="586" customWidth="1"/>
    <col min="4901" max="4901" width="17.28515625" style="586" customWidth="1"/>
    <col min="4902" max="4902" width="17.140625" style="586" customWidth="1"/>
    <col min="4903" max="4903" width="20.42578125" style="586" customWidth="1"/>
    <col min="4904" max="4906" width="17.140625" style="586" customWidth="1"/>
    <col min="4907" max="4907" width="19.7109375" style="586" customWidth="1"/>
    <col min="4908" max="4910" width="19" style="586" customWidth="1"/>
    <col min="4911" max="4911" width="21" style="586" customWidth="1"/>
    <col min="4912" max="4914" width="19.42578125" style="586" customWidth="1"/>
    <col min="4915" max="4915" width="21" style="586" customWidth="1"/>
    <col min="4916" max="4918" width="19.42578125" style="586" customWidth="1"/>
    <col min="4919" max="4919" width="21" style="586" customWidth="1"/>
    <col min="4920" max="4926" width="19.42578125" style="586" customWidth="1"/>
    <col min="4927" max="4927" width="21.42578125" style="586" customWidth="1"/>
    <col min="4928" max="4928" width="21" style="586" customWidth="1"/>
    <col min="4929" max="4929" width="22.140625" style="586" customWidth="1"/>
    <col min="4930" max="4930" width="21.7109375" style="586" customWidth="1"/>
    <col min="4931" max="4931" width="21.140625" style="586" customWidth="1"/>
    <col min="4932" max="4932" width="20.7109375" style="586" customWidth="1"/>
    <col min="4933" max="4934" width="19.42578125" style="586" customWidth="1"/>
    <col min="4935" max="4935" width="21.42578125" style="586" customWidth="1"/>
    <col min="4936" max="4950" width="19.42578125" style="586" customWidth="1"/>
    <col min="4951" max="4951" width="21.7109375" style="586" customWidth="1"/>
    <col min="4952" max="4962" width="19.42578125" style="586" customWidth="1"/>
    <col min="4963" max="4963" width="20.85546875" style="586" customWidth="1"/>
    <col min="4964" max="4966" width="20" style="586" customWidth="1"/>
    <col min="4967" max="4967" width="20.85546875" style="586" customWidth="1"/>
    <col min="4968" max="4970" width="20" style="586" customWidth="1"/>
    <col min="4971" max="4971" width="20.85546875" style="586" customWidth="1"/>
    <col min="4972" max="4974" width="20" style="586" customWidth="1"/>
    <col min="4975" max="4975" width="20.85546875" style="586" customWidth="1"/>
    <col min="4976" max="4978" width="20" style="586" customWidth="1"/>
    <col min="4979" max="4979" width="20.85546875" style="586" customWidth="1"/>
    <col min="4980" max="4982" width="20" style="586" customWidth="1"/>
    <col min="4983" max="4983" width="20.85546875" style="586" customWidth="1"/>
    <col min="4984" max="4986" width="20" style="586" customWidth="1"/>
    <col min="4987" max="4987" width="20.85546875" style="586" customWidth="1"/>
    <col min="4988" max="4990" width="20" style="586" customWidth="1"/>
    <col min="4991" max="4991" width="20.85546875" style="586" customWidth="1"/>
    <col min="4992" max="4994" width="20" style="586" customWidth="1"/>
    <col min="4995" max="4995" width="20.28515625" style="586" customWidth="1"/>
    <col min="4996" max="4996" width="25.42578125" style="586" customWidth="1"/>
    <col min="4997" max="4997" width="18" style="586" customWidth="1"/>
    <col min="4998" max="4998" width="19.140625" style="586" customWidth="1"/>
    <col min="4999" max="4999" width="21.85546875" style="586" customWidth="1"/>
    <col min="5000" max="5001" width="25.28515625" style="586" customWidth="1"/>
    <col min="5002" max="5002" width="24.42578125" style="586" customWidth="1"/>
    <col min="5003" max="5003" width="36.42578125" style="586" customWidth="1"/>
    <col min="5004" max="5004" width="11.42578125" style="586"/>
    <col min="5005" max="5005" width="19.7109375" style="586" bestFit="1" customWidth="1"/>
    <col min="5006" max="5128" width="11.42578125" style="586"/>
    <col min="5129" max="5129" width="54.140625" style="586" customWidth="1"/>
    <col min="5130" max="5130" width="22.85546875" style="586" customWidth="1"/>
    <col min="5131" max="5134" width="20.28515625" style="586" customWidth="1"/>
    <col min="5135" max="5142" width="18.28515625" style="586" customWidth="1"/>
    <col min="5143" max="5146" width="20.5703125" style="586" customWidth="1"/>
    <col min="5147" max="5147" width="20.28515625" style="586" customWidth="1"/>
    <col min="5148" max="5148" width="25.42578125" style="586" customWidth="1"/>
    <col min="5149" max="5149" width="18" style="586" customWidth="1"/>
    <col min="5150" max="5151" width="19.140625" style="586" customWidth="1"/>
    <col min="5152" max="5152" width="18" style="586" customWidth="1"/>
    <col min="5153" max="5154" width="20.140625" style="586" customWidth="1"/>
    <col min="5155" max="5156" width="18.42578125" style="586" customWidth="1"/>
    <col min="5157" max="5157" width="17.28515625" style="586" customWidth="1"/>
    <col min="5158" max="5158" width="17.140625" style="586" customWidth="1"/>
    <col min="5159" max="5159" width="20.42578125" style="586" customWidth="1"/>
    <col min="5160" max="5162" width="17.140625" style="586" customWidth="1"/>
    <col min="5163" max="5163" width="19.7109375" style="586" customWidth="1"/>
    <col min="5164" max="5166" width="19" style="586" customWidth="1"/>
    <col min="5167" max="5167" width="21" style="586" customWidth="1"/>
    <col min="5168" max="5170" width="19.42578125" style="586" customWidth="1"/>
    <col min="5171" max="5171" width="21" style="586" customWidth="1"/>
    <col min="5172" max="5174" width="19.42578125" style="586" customWidth="1"/>
    <col min="5175" max="5175" width="21" style="586" customWidth="1"/>
    <col min="5176" max="5182" width="19.42578125" style="586" customWidth="1"/>
    <col min="5183" max="5183" width="21.42578125" style="586" customWidth="1"/>
    <col min="5184" max="5184" width="21" style="586" customWidth="1"/>
    <col min="5185" max="5185" width="22.140625" style="586" customWidth="1"/>
    <col min="5186" max="5186" width="21.7109375" style="586" customWidth="1"/>
    <col min="5187" max="5187" width="21.140625" style="586" customWidth="1"/>
    <col min="5188" max="5188" width="20.7109375" style="586" customWidth="1"/>
    <col min="5189" max="5190" width="19.42578125" style="586" customWidth="1"/>
    <col min="5191" max="5191" width="21.42578125" style="586" customWidth="1"/>
    <col min="5192" max="5206" width="19.42578125" style="586" customWidth="1"/>
    <col min="5207" max="5207" width="21.7109375" style="586" customWidth="1"/>
    <col min="5208" max="5218" width="19.42578125" style="586" customWidth="1"/>
    <col min="5219" max="5219" width="20.85546875" style="586" customWidth="1"/>
    <col min="5220" max="5222" width="20" style="586" customWidth="1"/>
    <col min="5223" max="5223" width="20.85546875" style="586" customWidth="1"/>
    <col min="5224" max="5226" width="20" style="586" customWidth="1"/>
    <col min="5227" max="5227" width="20.85546875" style="586" customWidth="1"/>
    <col min="5228" max="5230" width="20" style="586" customWidth="1"/>
    <col min="5231" max="5231" width="20.85546875" style="586" customWidth="1"/>
    <col min="5232" max="5234" width="20" style="586" customWidth="1"/>
    <col min="5235" max="5235" width="20.85546875" style="586" customWidth="1"/>
    <col min="5236" max="5238" width="20" style="586" customWidth="1"/>
    <col min="5239" max="5239" width="20.85546875" style="586" customWidth="1"/>
    <col min="5240" max="5242" width="20" style="586" customWidth="1"/>
    <col min="5243" max="5243" width="20.85546875" style="586" customWidth="1"/>
    <col min="5244" max="5246" width="20" style="586" customWidth="1"/>
    <col min="5247" max="5247" width="20.85546875" style="586" customWidth="1"/>
    <col min="5248" max="5250" width="20" style="586" customWidth="1"/>
    <col min="5251" max="5251" width="20.28515625" style="586" customWidth="1"/>
    <col min="5252" max="5252" width="25.42578125" style="586" customWidth="1"/>
    <col min="5253" max="5253" width="18" style="586" customWidth="1"/>
    <col min="5254" max="5254" width="19.140625" style="586" customWidth="1"/>
    <col min="5255" max="5255" width="21.85546875" style="586" customWidth="1"/>
    <col min="5256" max="5257" width="25.28515625" style="586" customWidth="1"/>
    <col min="5258" max="5258" width="24.42578125" style="586" customWidth="1"/>
    <col min="5259" max="5259" width="36.42578125" style="586" customWidth="1"/>
    <col min="5260" max="5260" width="11.42578125" style="586"/>
    <col min="5261" max="5261" width="19.7109375" style="586" bestFit="1" customWidth="1"/>
    <col min="5262" max="5384" width="11.42578125" style="586"/>
    <col min="5385" max="5385" width="54.140625" style="586" customWidth="1"/>
    <col min="5386" max="5386" width="22.85546875" style="586" customWidth="1"/>
    <col min="5387" max="5390" width="20.28515625" style="586" customWidth="1"/>
    <col min="5391" max="5398" width="18.28515625" style="586" customWidth="1"/>
    <col min="5399" max="5402" width="20.5703125" style="586" customWidth="1"/>
    <col min="5403" max="5403" width="20.28515625" style="586" customWidth="1"/>
    <col min="5404" max="5404" width="25.42578125" style="586" customWidth="1"/>
    <col min="5405" max="5405" width="18" style="586" customWidth="1"/>
    <col min="5406" max="5407" width="19.140625" style="586" customWidth="1"/>
    <col min="5408" max="5408" width="18" style="586" customWidth="1"/>
    <col min="5409" max="5410" width="20.140625" style="586" customWidth="1"/>
    <col min="5411" max="5412" width="18.42578125" style="586" customWidth="1"/>
    <col min="5413" max="5413" width="17.28515625" style="586" customWidth="1"/>
    <col min="5414" max="5414" width="17.140625" style="586" customWidth="1"/>
    <col min="5415" max="5415" width="20.42578125" style="586" customWidth="1"/>
    <col min="5416" max="5418" width="17.140625" style="586" customWidth="1"/>
    <col min="5419" max="5419" width="19.7109375" style="586" customWidth="1"/>
    <col min="5420" max="5422" width="19" style="586" customWidth="1"/>
    <col min="5423" max="5423" width="21" style="586" customWidth="1"/>
    <col min="5424" max="5426" width="19.42578125" style="586" customWidth="1"/>
    <col min="5427" max="5427" width="21" style="586" customWidth="1"/>
    <col min="5428" max="5430" width="19.42578125" style="586" customWidth="1"/>
    <col min="5431" max="5431" width="21" style="586" customWidth="1"/>
    <col min="5432" max="5438" width="19.42578125" style="586" customWidth="1"/>
    <col min="5439" max="5439" width="21.42578125" style="586" customWidth="1"/>
    <col min="5440" max="5440" width="21" style="586" customWidth="1"/>
    <col min="5441" max="5441" width="22.140625" style="586" customWidth="1"/>
    <col min="5442" max="5442" width="21.7109375" style="586" customWidth="1"/>
    <col min="5443" max="5443" width="21.140625" style="586" customWidth="1"/>
    <col min="5444" max="5444" width="20.7109375" style="586" customWidth="1"/>
    <col min="5445" max="5446" width="19.42578125" style="586" customWidth="1"/>
    <col min="5447" max="5447" width="21.42578125" style="586" customWidth="1"/>
    <col min="5448" max="5462" width="19.42578125" style="586" customWidth="1"/>
    <col min="5463" max="5463" width="21.7109375" style="586" customWidth="1"/>
    <col min="5464" max="5474" width="19.42578125" style="586" customWidth="1"/>
    <col min="5475" max="5475" width="20.85546875" style="586" customWidth="1"/>
    <col min="5476" max="5478" width="20" style="586" customWidth="1"/>
    <col min="5479" max="5479" width="20.85546875" style="586" customWidth="1"/>
    <col min="5480" max="5482" width="20" style="586" customWidth="1"/>
    <col min="5483" max="5483" width="20.85546875" style="586" customWidth="1"/>
    <col min="5484" max="5486" width="20" style="586" customWidth="1"/>
    <col min="5487" max="5487" width="20.85546875" style="586" customWidth="1"/>
    <col min="5488" max="5490" width="20" style="586" customWidth="1"/>
    <col min="5491" max="5491" width="20.85546875" style="586" customWidth="1"/>
    <col min="5492" max="5494" width="20" style="586" customWidth="1"/>
    <col min="5495" max="5495" width="20.85546875" style="586" customWidth="1"/>
    <col min="5496" max="5498" width="20" style="586" customWidth="1"/>
    <col min="5499" max="5499" width="20.85546875" style="586" customWidth="1"/>
    <col min="5500" max="5502" width="20" style="586" customWidth="1"/>
    <col min="5503" max="5503" width="20.85546875" style="586" customWidth="1"/>
    <col min="5504" max="5506" width="20" style="586" customWidth="1"/>
    <col min="5507" max="5507" width="20.28515625" style="586" customWidth="1"/>
    <col min="5508" max="5508" width="25.42578125" style="586" customWidth="1"/>
    <col min="5509" max="5509" width="18" style="586" customWidth="1"/>
    <col min="5510" max="5510" width="19.140625" style="586" customWidth="1"/>
    <col min="5511" max="5511" width="21.85546875" style="586" customWidth="1"/>
    <col min="5512" max="5513" width="25.28515625" style="586" customWidth="1"/>
    <col min="5514" max="5514" width="24.42578125" style="586" customWidth="1"/>
    <col min="5515" max="5515" width="36.42578125" style="586" customWidth="1"/>
    <col min="5516" max="5516" width="11.42578125" style="586"/>
    <col min="5517" max="5517" width="19.7109375" style="586" bestFit="1" customWidth="1"/>
    <col min="5518" max="5640" width="11.42578125" style="586"/>
    <col min="5641" max="5641" width="54.140625" style="586" customWidth="1"/>
    <col min="5642" max="5642" width="22.85546875" style="586" customWidth="1"/>
    <col min="5643" max="5646" width="20.28515625" style="586" customWidth="1"/>
    <col min="5647" max="5654" width="18.28515625" style="586" customWidth="1"/>
    <col min="5655" max="5658" width="20.5703125" style="586" customWidth="1"/>
    <col min="5659" max="5659" width="20.28515625" style="586" customWidth="1"/>
    <col min="5660" max="5660" width="25.42578125" style="586" customWidth="1"/>
    <col min="5661" max="5661" width="18" style="586" customWidth="1"/>
    <col min="5662" max="5663" width="19.140625" style="586" customWidth="1"/>
    <col min="5664" max="5664" width="18" style="586" customWidth="1"/>
    <col min="5665" max="5666" width="20.140625" style="586" customWidth="1"/>
    <col min="5667" max="5668" width="18.42578125" style="586" customWidth="1"/>
    <col min="5669" max="5669" width="17.28515625" style="586" customWidth="1"/>
    <col min="5670" max="5670" width="17.140625" style="586" customWidth="1"/>
    <col min="5671" max="5671" width="20.42578125" style="586" customWidth="1"/>
    <col min="5672" max="5674" width="17.140625" style="586" customWidth="1"/>
    <col min="5675" max="5675" width="19.7109375" style="586" customWidth="1"/>
    <col min="5676" max="5678" width="19" style="586" customWidth="1"/>
    <col min="5679" max="5679" width="21" style="586" customWidth="1"/>
    <col min="5680" max="5682" width="19.42578125" style="586" customWidth="1"/>
    <col min="5683" max="5683" width="21" style="586" customWidth="1"/>
    <col min="5684" max="5686" width="19.42578125" style="586" customWidth="1"/>
    <col min="5687" max="5687" width="21" style="586" customWidth="1"/>
    <col min="5688" max="5694" width="19.42578125" style="586" customWidth="1"/>
    <col min="5695" max="5695" width="21.42578125" style="586" customWidth="1"/>
    <col min="5696" max="5696" width="21" style="586" customWidth="1"/>
    <col min="5697" max="5697" width="22.140625" style="586" customWidth="1"/>
    <col min="5698" max="5698" width="21.7109375" style="586" customWidth="1"/>
    <col min="5699" max="5699" width="21.140625" style="586" customWidth="1"/>
    <col min="5700" max="5700" width="20.7109375" style="586" customWidth="1"/>
    <col min="5701" max="5702" width="19.42578125" style="586" customWidth="1"/>
    <col min="5703" max="5703" width="21.42578125" style="586" customWidth="1"/>
    <col min="5704" max="5718" width="19.42578125" style="586" customWidth="1"/>
    <col min="5719" max="5719" width="21.7109375" style="586" customWidth="1"/>
    <col min="5720" max="5730" width="19.42578125" style="586" customWidth="1"/>
    <col min="5731" max="5731" width="20.85546875" style="586" customWidth="1"/>
    <col min="5732" max="5734" width="20" style="586" customWidth="1"/>
    <col min="5735" max="5735" width="20.85546875" style="586" customWidth="1"/>
    <col min="5736" max="5738" width="20" style="586" customWidth="1"/>
    <col min="5739" max="5739" width="20.85546875" style="586" customWidth="1"/>
    <col min="5740" max="5742" width="20" style="586" customWidth="1"/>
    <col min="5743" max="5743" width="20.85546875" style="586" customWidth="1"/>
    <col min="5744" max="5746" width="20" style="586" customWidth="1"/>
    <col min="5747" max="5747" width="20.85546875" style="586" customWidth="1"/>
    <col min="5748" max="5750" width="20" style="586" customWidth="1"/>
    <col min="5751" max="5751" width="20.85546875" style="586" customWidth="1"/>
    <col min="5752" max="5754" width="20" style="586" customWidth="1"/>
    <col min="5755" max="5755" width="20.85546875" style="586" customWidth="1"/>
    <col min="5756" max="5758" width="20" style="586" customWidth="1"/>
    <col min="5759" max="5759" width="20.85546875" style="586" customWidth="1"/>
    <col min="5760" max="5762" width="20" style="586" customWidth="1"/>
    <col min="5763" max="5763" width="20.28515625" style="586" customWidth="1"/>
    <col min="5764" max="5764" width="25.42578125" style="586" customWidth="1"/>
    <col min="5765" max="5765" width="18" style="586" customWidth="1"/>
    <col min="5766" max="5766" width="19.140625" style="586" customWidth="1"/>
    <col min="5767" max="5767" width="21.85546875" style="586" customWidth="1"/>
    <col min="5768" max="5769" width="25.28515625" style="586" customWidth="1"/>
    <col min="5770" max="5770" width="24.42578125" style="586" customWidth="1"/>
    <col min="5771" max="5771" width="36.42578125" style="586" customWidth="1"/>
    <col min="5772" max="5772" width="11.42578125" style="586"/>
    <col min="5773" max="5773" width="19.7109375" style="586" bestFit="1" customWidth="1"/>
    <col min="5774" max="5896" width="11.42578125" style="586"/>
    <col min="5897" max="5897" width="54.140625" style="586" customWidth="1"/>
    <col min="5898" max="5898" width="22.85546875" style="586" customWidth="1"/>
    <col min="5899" max="5902" width="20.28515625" style="586" customWidth="1"/>
    <col min="5903" max="5910" width="18.28515625" style="586" customWidth="1"/>
    <col min="5911" max="5914" width="20.5703125" style="586" customWidth="1"/>
    <col min="5915" max="5915" width="20.28515625" style="586" customWidth="1"/>
    <col min="5916" max="5916" width="25.42578125" style="586" customWidth="1"/>
    <col min="5917" max="5917" width="18" style="586" customWidth="1"/>
    <col min="5918" max="5919" width="19.140625" style="586" customWidth="1"/>
    <col min="5920" max="5920" width="18" style="586" customWidth="1"/>
    <col min="5921" max="5922" width="20.140625" style="586" customWidth="1"/>
    <col min="5923" max="5924" width="18.42578125" style="586" customWidth="1"/>
    <col min="5925" max="5925" width="17.28515625" style="586" customWidth="1"/>
    <col min="5926" max="5926" width="17.140625" style="586" customWidth="1"/>
    <col min="5927" max="5927" width="20.42578125" style="586" customWidth="1"/>
    <col min="5928" max="5930" width="17.140625" style="586" customWidth="1"/>
    <col min="5931" max="5931" width="19.7109375" style="586" customWidth="1"/>
    <col min="5932" max="5934" width="19" style="586" customWidth="1"/>
    <col min="5935" max="5935" width="21" style="586" customWidth="1"/>
    <col min="5936" max="5938" width="19.42578125" style="586" customWidth="1"/>
    <col min="5939" max="5939" width="21" style="586" customWidth="1"/>
    <col min="5940" max="5942" width="19.42578125" style="586" customWidth="1"/>
    <col min="5943" max="5943" width="21" style="586" customWidth="1"/>
    <col min="5944" max="5950" width="19.42578125" style="586" customWidth="1"/>
    <col min="5951" max="5951" width="21.42578125" style="586" customWidth="1"/>
    <col min="5952" max="5952" width="21" style="586" customWidth="1"/>
    <col min="5953" max="5953" width="22.140625" style="586" customWidth="1"/>
    <col min="5954" max="5954" width="21.7109375" style="586" customWidth="1"/>
    <col min="5955" max="5955" width="21.140625" style="586" customWidth="1"/>
    <col min="5956" max="5956" width="20.7109375" style="586" customWidth="1"/>
    <col min="5957" max="5958" width="19.42578125" style="586" customWidth="1"/>
    <col min="5959" max="5959" width="21.42578125" style="586" customWidth="1"/>
    <col min="5960" max="5974" width="19.42578125" style="586" customWidth="1"/>
    <col min="5975" max="5975" width="21.7109375" style="586" customWidth="1"/>
    <col min="5976" max="5986" width="19.42578125" style="586" customWidth="1"/>
    <col min="5987" max="5987" width="20.85546875" style="586" customWidth="1"/>
    <col min="5988" max="5990" width="20" style="586" customWidth="1"/>
    <col min="5991" max="5991" width="20.85546875" style="586" customWidth="1"/>
    <col min="5992" max="5994" width="20" style="586" customWidth="1"/>
    <col min="5995" max="5995" width="20.85546875" style="586" customWidth="1"/>
    <col min="5996" max="5998" width="20" style="586" customWidth="1"/>
    <col min="5999" max="5999" width="20.85546875" style="586" customWidth="1"/>
    <col min="6000" max="6002" width="20" style="586" customWidth="1"/>
    <col min="6003" max="6003" width="20.85546875" style="586" customWidth="1"/>
    <col min="6004" max="6006" width="20" style="586" customWidth="1"/>
    <col min="6007" max="6007" width="20.85546875" style="586" customWidth="1"/>
    <col min="6008" max="6010" width="20" style="586" customWidth="1"/>
    <col min="6011" max="6011" width="20.85546875" style="586" customWidth="1"/>
    <col min="6012" max="6014" width="20" style="586" customWidth="1"/>
    <col min="6015" max="6015" width="20.85546875" style="586" customWidth="1"/>
    <col min="6016" max="6018" width="20" style="586" customWidth="1"/>
    <col min="6019" max="6019" width="20.28515625" style="586" customWidth="1"/>
    <col min="6020" max="6020" width="25.42578125" style="586" customWidth="1"/>
    <col min="6021" max="6021" width="18" style="586" customWidth="1"/>
    <col min="6022" max="6022" width="19.140625" style="586" customWidth="1"/>
    <col min="6023" max="6023" width="21.85546875" style="586" customWidth="1"/>
    <col min="6024" max="6025" width="25.28515625" style="586" customWidth="1"/>
    <col min="6026" max="6026" width="24.42578125" style="586" customWidth="1"/>
    <col min="6027" max="6027" width="36.42578125" style="586" customWidth="1"/>
    <col min="6028" max="6028" width="11.42578125" style="586"/>
    <col min="6029" max="6029" width="19.7109375" style="586" bestFit="1" customWidth="1"/>
    <col min="6030" max="6152" width="11.42578125" style="586"/>
    <col min="6153" max="6153" width="54.140625" style="586" customWidth="1"/>
    <col min="6154" max="6154" width="22.85546875" style="586" customWidth="1"/>
    <col min="6155" max="6158" width="20.28515625" style="586" customWidth="1"/>
    <col min="6159" max="6166" width="18.28515625" style="586" customWidth="1"/>
    <col min="6167" max="6170" width="20.5703125" style="586" customWidth="1"/>
    <col min="6171" max="6171" width="20.28515625" style="586" customWidth="1"/>
    <col min="6172" max="6172" width="25.42578125" style="586" customWidth="1"/>
    <col min="6173" max="6173" width="18" style="586" customWidth="1"/>
    <col min="6174" max="6175" width="19.140625" style="586" customWidth="1"/>
    <col min="6176" max="6176" width="18" style="586" customWidth="1"/>
    <col min="6177" max="6178" width="20.140625" style="586" customWidth="1"/>
    <col min="6179" max="6180" width="18.42578125" style="586" customWidth="1"/>
    <col min="6181" max="6181" width="17.28515625" style="586" customWidth="1"/>
    <col min="6182" max="6182" width="17.140625" style="586" customWidth="1"/>
    <col min="6183" max="6183" width="20.42578125" style="586" customWidth="1"/>
    <col min="6184" max="6186" width="17.140625" style="586" customWidth="1"/>
    <col min="6187" max="6187" width="19.7109375" style="586" customWidth="1"/>
    <col min="6188" max="6190" width="19" style="586" customWidth="1"/>
    <col min="6191" max="6191" width="21" style="586" customWidth="1"/>
    <col min="6192" max="6194" width="19.42578125" style="586" customWidth="1"/>
    <col min="6195" max="6195" width="21" style="586" customWidth="1"/>
    <col min="6196" max="6198" width="19.42578125" style="586" customWidth="1"/>
    <col min="6199" max="6199" width="21" style="586" customWidth="1"/>
    <col min="6200" max="6206" width="19.42578125" style="586" customWidth="1"/>
    <col min="6207" max="6207" width="21.42578125" style="586" customWidth="1"/>
    <col min="6208" max="6208" width="21" style="586" customWidth="1"/>
    <col min="6209" max="6209" width="22.140625" style="586" customWidth="1"/>
    <col min="6210" max="6210" width="21.7109375" style="586" customWidth="1"/>
    <col min="6211" max="6211" width="21.140625" style="586" customWidth="1"/>
    <col min="6212" max="6212" width="20.7109375" style="586" customWidth="1"/>
    <col min="6213" max="6214" width="19.42578125" style="586" customWidth="1"/>
    <col min="6215" max="6215" width="21.42578125" style="586" customWidth="1"/>
    <col min="6216" max="6230" width="19.42578125" style="586" customWidth="1"/>
    <col min="6231" max="6231" width="21.7109375" style="586" customWidth="1"/>
    <col min="6232" max="6242" width="19.42578125" style="586" customWidth="1"/>
    <col min="6243" max="6243" width="20.85546875" style="586" customWidth="1"/>
    <col min="6244" max="6246" width="20" style="586" customWidth="1"/>
    <col min="6247" max="6247" width="20.85546875" style="586" customWidth="1"/>
    <col min="6248" max="6250" width="20" style="586" customWidth="1"/>
    <col min="6251" max="6251" width="20.85546875" style="586" customWidth="1"/>
    <col min="6252" max="6254" width="20" style="586" customWidth="1"/>
    <col min="6255" max="6255" width="20.85546875" style="586" customWidth="1"/>
    <col min="6256" max="6258" width="20" style="586" customWidth="1"/>
    <col min="6259" max="6259" width="20.85546875" style="586" customWidth="1"/>
    <col min="6260" max="6262" width="20" style="586" customWidth="1"/>
    <col min="6263" max="6263" width="20.85546875" style="586" customWidth="1"/>
    <col min="6264" max="6266" width="20" style="586" customWidth="1"/>
    <col min="6267" max="6267" width="20.85546875" style="586" customWidth="1"/>
    <col min="6268" max="6270" width="20" style="586" customWidth="1"/>
    <col min="6271" max="6271" width="20.85546875" style="586" customWidth="1"/>
    <col min="6272" max="6274" width="20" style="586" customWidth="1"/>
    <col min="6275" max="6275" width="20.28515625" style="586" customWidth="1"/>
    <col min="6276" max="6276" width="25.42578125" style="586" customWidth="1"/>
    <col min="6277" max="6277" width="18" style="586" customWidth="1"/>
    <col min="6278" max="6278" width="19.140625" style="586" customWidth="1"/>
    <col min="6279" max="6279" width="21.85546875" style="586" customWidth="1"/>
    <col min="6280" max="6281" width="25.28515625" style="586" customWidth="1"/>
    <col min="6282" max="6282" width="24.42578125" style="586" customWidth="1"/>
    <col min="6283" max="6283" width="36.42578125" style="586" customWidth="1"/>
    <col min="6284" max="6284" width="11.42578125" style="586"/>
    <col min="6285" max="6285" width="19.7109375" style="586" bestFit="1" customWidth="1"/>
    <col min="6286" max="6408" width="11.42578125" style="586"/>
    <col min="6409" max="6409" width="54.140625" style="586" customWidth="1"/>
    <col min="6410" max="6410" width="22.85546875" style="586" customWidth="1"/>
    <col min="6411" max="6414" width="20.28515625" style="586" customWidth="1"/>
    <col min="6415" max="6422" width="18.28515625" style="586" customWidth="1"/>
    <col min="6423" max="6426" width="20.5703125" style="586" customWidth="1"/>
    <col min="6427" max="6427" width="20.28515625" style="586" customWidth="1"/>
    <col min="6428" max="6428" width="25.42578125" style="586" customWidth="1"/>
    <col min="6429" max="6429" width="18" style="586" customWidth="1"/>
    <col min="6430" max="6431" width="19.140625" style="586" customWidth="1"/>
    <col min="6432" max="6432" width="18" style="586" customWidth="1"/>
    <col min="6433" max="6434" width="20.140625" style="586" customWidth="1"/>
    <col min="6435" max="6436" width="18.42578125" style="586" customWidth="1"/>
    <col min="6437" max="6437" width="17.28515625" style="586" customWidth="1"/>
    <col min="6438" max="6438" width="17.140625" style="586" customWidth="1"/>
    <col min="6439" max="6439" width="20.42578125" style="586" customWidth="1"/>
    <col min="6440" max="6442" width="17.140625" style="586" customWidth="1"/>
    <col min="6443" max="6443" width="19.7109375" style="586" customWidth="1"/>
    <col min="6444" max="6446" width="19" style="586" customWidth="1"/>
    <col min="6447" max="6447" width="21" style="586" customWidth="1"/>
    <col min="6448" max="6450" width="19.42578125" style="586" customWidth="1"/>
    <col min="6451" max="6451" width="21" style="586" customWidth="1"/>
    <col min="6452" max="6454" width="19.42578125" style="586" customWidth="1"/>
    <col min="6455" max="6455" width="21" style="586" customWidth="1"/>
    <col min="6456" max="6462" width="19.42578125" style="586" customWidth="1"/>
    <col min="6463" max="6463" width="21.42578125" style="586" customWidth="1"/>
    <col min="6464" max="6464" width="21" style="586" customWidth="1"/>
    <col min="6465" max="6465" width="22.140625" style="586" customWidth="1"/>
    <col min="6466" max="6466" width="21.7109375" style="586" customWidth="1"/>
    <col min="6467" max="6467" width="21.140625" style="586" customWidth="1"/>
    <col min="6468" max="6468" width="20.7109375" style="586" customWidth="1"/>
    <col min="6469" max="6470" width="19.42578125" style="586" customWidth="1"/>
    <col min="6471" max="6471" width="21.42578125" style="586" customWidth="1"/>
    <col min="6472" max="6486" width="19.42578125" style="586" customWidth="1"/>
    <col min="6487" max="6487" width="21.7109375" style="586" customWidth="1"/>
    <col min="6488" max="6498" width="19.42578125" style="586" customWidth="1"/>
    <col min="6499" max="6499" width="20.85546875" style="586" customWidth="1"/>
    <col min="6500" max="6502" width="20" style="586" customWidth="1"/>
    <col min="6503" max="6503" width="20.85546875" style="586" customWidth="1"/>
    <col min="6504" max="6506" width="20" style="586" customWidth="1"/>
    <col min="6507" max="6507" width="20.85546875" style="586" customWidth="1"/>
    <col min="6508" max="6510" width="20" style="586" customWidth="1"/>
    <col min="6511" max="6511" width="20.85546875" style="586" customWidth="1"/>
    <col min="6512" max="6514" width="20" style="586" customWidth="1"/>
    <col min="6515" max="6515" width="20.85546875" style="586" customWidth="1"/>
    <col min="6516" max="6518" width="20" style="586" customWidth="1"/>
    <col min="6519" max="6519" width="20.85546875" style="586" customWidth="1"/>
    <col min="6520" max="6522" width="20" style="586" customWidth="1"/>
    <col min="6523" max="6523" width="20.85546875" style="586" customWidth="1"/>
    <col min="6524" max="6526" width="20" style="586" customWidth="1"/>
    <col min="6527" max="6527" width="20.85546875" style="586" customWidth="1"/>
    <col min="6528" max="6530" width="20" style="586" customWidth="1"/>
    <col min="6531" max="6531" width="20.28515625" style="586" customWidth="1"/>
    <col min="6532" max="6532" width="25.42578125" style="586" customWidth="1"/>
    <col min="6533" max="6533" width="18" style="586" customWidth="1"/>
    <col min="6534" max="6534" width="19.140625" style="586" customWidth="1"/>
    <col min="6535" max="6535" width="21.85546875" style="586" customWidth="1"/>
    <col min="6536" max="6537" width="25.28515625" style="586" customWidth="1"/>
    <col min="6538" max="6538" width="24.42578125" style="586" customWidth="1"/>
    <col min="6539" max="6539" width="36.42578125" style="586" customWidth="1"/>
    <col min="6540" max="6540" width="11.42578125" style="586"/>
    <col min="6541" max="6541" width="19.7109375" style="586" bestFit="1" customWidth="1"/>
    <col min="6542" max="6664" width="11.42578125" style="586"/>
    <col min="6665" max="6665" width="54.140625" style="586" customWidth="1"/>
    <col min="6666" max="6666" width="22.85546875" style="586" customWidth="1"/>
    <col min="6667" max="6670" width="20.28515625" style="586" customWidth="1"/>
    <col min="6671" max="6678" width="18.28515625" style="586" customWidth="1"/>
    <col min="6679" max="6682" width="20.5703125" style="586" customWidth="1"/>
    <col min="6683" max="6683" width="20.28515625" style="586" customWidth="1"/>
    <col min="6684" max="6684" width="25.42578125" style="586" customWidth="1"/>
    <col min="6685" max="6685" width="18" style="586" customWidth="1"/>
    <col min="6686" max="6687" width="19.140625" style="586" customWidth="1"/>
    <col min="6688" max="6688" width="18" style="586" customWidth="1"/>
    <col min="6689" max="6690" width="20.140625" style="586" customWidth="1"/>
    <col min="6691" max="6692" width="18.42578125" style="586" customWidth="1"/>
    <col min="6693" max="6693" width="17.28515625" style="586" customWidth="1"/>
    <col min="6694" max="6694" width="17.140625" style="586" customWidth="1"/>
    <col min="6695" max="6695" width="20.42578125" style="586" customWidth="1"/>
    <col min="6696" max="6698" width="17.140625" style="586" customWidth="1"/>
    <col min="6699" max="6699" width="19.7109375" style="586" customWidth="1"/>
    <col min="6700" max="6702" width="19" style="586" customWidth="1"/>
    <col min="6703" max="6703" width="21" style="586" customWidth="1"/>
    <col min="6704" max="6706" width="19.42578125" style="586" customWidth="1"/>
    <col min="6707" max="6707" width="21" style="586" customWidth="1"/>
    <col min="6708" max="6710" width="19.42578125" style="586" customWidth="1"/>
    <col min="6711" max="6711" width="21" style="586" customWidth="1"/>
    <col min="6712" max="6718" width="19.42578125" style="586" customWidth="1"/>
    <col min="6719" max="6719" width="21.42578125" style="586" customWidth="1"/>
    <col min="6720" max="6720" width="21" style="586" customWidth="1"/>
    <col min="6721" max="6721" width="22.140625" style="586" customWidth="1"/>
    <col min="6722" max="6722" width="21.7109375" style="586" customWidth="1"/>
    <col min="6723" max="6723" width="21.140625" style="586" customWidth="1"/>
    <col min="6724" max="6724" width="20.7109375" style="586" customWidth="1"/>
    <col min="6725" max="6726" width="19.42578125" style="586" customWidth="1"/>
    <col min="6727" max="6727" width="21.42578125" style="586" customWidth="1"/>
    <col min="6728" max="6742" width="19.42578125" style="586" customWidth="1"/>
    <col min="6743" max="6743" width="21.7109375" style="586" customWidth="1"/>
    <col min="6744" max="6754" width="19.42578125" style="586" customWidth="1"/>
    <col min="6755" max="6755" width="20.85546875" style="586" customWidth="1"/>
    <col min="6756" max="6758" width="20" style="586" customWidth="1"/>
    <col min="6759" max="6759" width="20.85546875" style="586" customWidth="1"/>
    <col min="6760" max="6762" width="20" style="586" customWidth="1"/>
    <col min="6763" max="6763" width="20.85546875" style="586" customWidth="1"/>
    <col min="6764" max="6766" width="20" style="586" customWidth="1"/>
    <col min="6767" max="6767" width="20.85546875" style="586" customWidth="1"/>
    <col min="6768" max="6770" width="20" style="586" customWidth="1"/>
    <col min="6771" max="6771" width="20.85546875" style="586" customWidth="1"/>
    <col min="6772" max="6774" width="20" style="586" customWidth="1"/>
    <col min="6775" max="6775" width="20.85546875" style="586" customWidth="1"/>
    <col min="6776" max="6778" width="20" style="586" customWidth="1"/>
    <col min="6779" max="6779" width="20.85546875" style="586" customWidth="1"/>
    <col min="6780" max="6782" width="20" style="586" customWidth="1"/>
    <col min="6783" max="6783" width="20.85546875" style="586" customWidth="1"/>
    <col min="6784" max="6786" width="20" style="586" customWidth="1"/>
    <col min="6787" max="6787" width="20.28515625" style="586" customWidth="1"/>
    <col min="6788" max="6788" width="25.42578125" style="586" customWidth="1"/>
    <col min="6789" max="6789" width="18" style="586" customWidth="1"/>
    <col min="6790" max="6790" width="19.140625" style="586" customWidth="1"/>
    <col min="6791" max="6791" width="21.85546875" style="586" customWidth="1"/>
    <col min="6792" max="6793" width="25.28515625" style="586" customWidth="1"/>
    <col min="6794" max="6794" width="24.42578125" style="586" customWidth="1"/>
    <col min="6795" max="6795" width="36.42578125" style="586" customWidth="1"/>
    <col min="6796" max="6796" width="11.42578125" style="586"/>
    <col min="6797" max="6797" width="19.7109375" style="586" bestFit="1" customWidth="1"/>
    <col min="6798" max="6920" width="11.42578125" style="586"/>
    <col min="6921" max="6921" width="54.140625" style="586" customWidth="1"/>
    <col min="6922" max="6922" width="22.85546875" style="586" customWidth="1"/>
    <col min="6923" max="6926" width="20.28515625" style="586" customWidth="1"/>
    <col min="6927" max="6934" width="18.28515625" style="586" customWidth="1"/>
    <col min="6935" max="6938" width="20.5703125" style="586" customWidth="1"/>
    <col min="6939" max="6939" width="20.28515625" style="586" customWidth="1"/>
    <col min="6940" max="6940" width="25.42578125" style="586" customWidth="1"/>
    <col min="6941" max="6941" width="18" style="586" customWidth="1"/>
    <col min="6942" max="6943" width="19.140625" style="586" customWidth="1"/>
    <col min="6944" max="6944" width="18" style="586" customWidth="1"/>
    <col min="6945" max="6946" width="20.140625" style="586" customWidth="1"/>
    <col min="6947" max="6948" width="18.42578125" style="586" customWidth="1"/>
    <col min="6949" max="6949" width="17.28515625" style="586" customWidth="1"/>
    <col min="6950" max="6950" width="17.140625" style="586" customWidth="1"/>
    <col min="6951" max="6951" width="20.42578125" style="586" customWidth="1"/>
    <col min="6952" max="6954" width="17.140625" style="586" customWidth="1"/>
    <col min="6955" max="6955" width="19.7109375" style="586" customWidth="1"/>
    <col min="6956" max="6958" width="19" style="586" customWidth="1"/>
    <col min="6959" max="6959" width="21" style="586" customWidth="1"/>
    <col min="6960" max="6962" width="19.42578125" style="586" customWidth="1"/>
    <col min="6963" max="6963" width="21" style="586" customWidth="1"/>
    <col min="6964" max="6966" width="19.42578125" style="586" customWidth="1"/>
    <col min="6967" max="6967" width="21" style="586" customWidth="1"/>
    <col min="6968" max="6974" width="19.42578125" style="586" customWidth="1"/>
    <col min="6975" max="6975" width="21.42578125" style="586" customWidth="1"/>
    <col min="6976" max="6976" width="21" style="586" customWidth="1"/>
    <col min="6977" max="6977" width="22.140625" style="586" customWidth="1"/>
    <col min="6978" max="6978" width="21.7109375" style="586" customWidth="1"/>
    <col min="6979" max="6979" width="21.140625" style="586" customWidth="1"/>
    <col min="6980" max="6980" width="20.7109375" style="586" customWidth="1"/>
    <col min="6981" max="6982" width="19.42578125" style="586" customWidth="1"/>
    <col min="6983" max="6983" width="21.42578125" style="586" customWidth="1"/>
    <col min="6984" max="6998" width="19.42578125" style="586" customWidth="1"/>
    <col min="6999" max="6999" width="21.7109375" style="586" customWidth="1"/>
    <col min="7000" max="7010" width="19.42578125" style="586" customWidth="1"/>
    <col min="7011" max="7011" width="20.85546875" style="586" customWidth="1"/>
    <col min="7012" max="7014" width="20" style="586" customWidth="1"/>
    <col min="7015" max="7015" width="20.85546875" style="586" customWidth="1"/>
    <col min="7016" max="7018" width="20" style="586" customWidth="1"/>
    <col min="7019" max="7019" width="20.85546875" style="586" customWidth="1"/>
    <col min="7020" max="7022" width="20" style="586" customWidth="1"/>
    <col min="7023" max="7023" width="20.85546875" style="586" customWidth="1"/>
    <col min="7024" max="7026" width="20" style="586" customWidth="1"/>
    <col min="7027" max="7027" width="20.85546875" style="586" customWidth="1"/>
    <col min="7028" max="7030" width="20" style="586" customWidth="1"/>
    <col min="7031" max="7031" width="20.85546875" style="586" customWidth="1"/>
    <col min="7032" max="7034" width="20" style="586" customWidth="1"/>
    <col min="7035" max="7035" width="20.85546875" style="586" customWidth="1"/>
    <col min="7036" max="7038" width="20" style="586" customWidth="1"/>
    <col min="7039" max="7039" width="20.85546875" style="586" customWidth="1"/>
    <col min="7040" max="7042" width="20" style="586" customWidth="1"/>
    <col min="7043" max="7043" width="20.28515625" style="586" customWidth="1"/>
    <col min="7044" max="7044" width="25.42578125" style="586" customWidth="1"/>
    <col min="7045" max="7045" width="18" style="586" customWidth="1"/>
    <col min="7046" max="7046" width="19.140625" style="586" customWidth="1"/>
    <col min="7047" max="7047" width="21.85546875" style="586" customWidth="1"/>
    <col min="7048" max="7049" width="25.28515625" style="586" customWidth="1"/>
    <col min="7050" max="7050" width="24.42578125" style="586" customWidth="1"/>
    <col min="7051" max="7051" width="36.42578125" style="586" customWidth="1"/>
    <col min="7052" max="7052" width="11.42578125" style="586"/>
    <col min="7053" max="7053" width="19.7109375" style="586" bestFit="1" customWidth="1"/>
    <col min="7054" max="7176" width="11.42578125" style="586"/>
    <col min="7177" max="7177" width="54.140625" style="586" customWidth="1"/>
    <col min="7178" max="7178" width="22.85546875" style="586" customWidth="1"/>
    <col min="7179" max="7182" width="20.28515625" style="586" customWidth="1"/>
    <col min="7183" max="7190" width="18.28515625" style="586" customWidth="1"/>
    <col min="7191" max="7194" width="20.5703125" style="586" customWidth="1"/>
    <col min="7195" max="7195" width="20.28515625" style="586" customWidth="1"/>
    <col min="7196" max="7196" width="25.42578125" style="586" customWidth="1"/>
    <col min="7197" max="7197" width="18" style="586" customWidth="1"/>
    <col min="7198" max="7199" width="19.140625" style="586" customWidth="1"/>
    <col min="7200" max="7200" width="18" style="586" customWidth="1"/>
    <col min="7201" max="7202" width="20.140625" style="586" customWidth="1"/>
    <col min="7203" max="7204" width="18.42578125" style="586" customWidth="1"/>
    <col min="7205" max="7205" width="17.28515625" style="586" customWidth="1"/>
    <col min="7206" max="7206" width="17.140625" style="586" customWidth="1"/>
    <col min="7207" max="7207" width="20.42578125" style="586" customWidth="1"/>
    <col min="7208" max="7210" width="17.140625" style="586" customWidth="1"/>
    <col min="7211" max="7211" width="19.7109375" style="586" customWidth="1"/>
    <col min="7212" max="7214" width="19" style="586" customWidth="1"/>
    <col min="7215" max="7215" width="21" style="586" customWidth="1"/>
    <col min="7216" max="7218" width="19.42578125" style="586" customWidth="1"/>
    <col min="7219" max="7219" width="21" style="586" customWidth="1"/>
    <col min="7220" max="7222" width="19.42578125" style="586" customWidth="1"/>
    <col min="7223" max="7223" width="21" style="586" customWidth="1"/>
    <col min="7224" max="7230" width="19.42578125" style="586" customWidth="1"/>
    <col min="7231" max="7231" width="21.42578125" style="586" customWidth="1"/>
    <col min="7232" max="7232" width="21" style="586" customWidth="1"/>
    <col min="7233" max="7233" width="22.140625" style="586" customWidth="1"/>
    <col min="7234" max="7234" width="21.7109375" style="586" customWidth="1"/>
    <col min="7235" max="7235" width="21.140625" style="586" customWidth="1"/>
    <col min="7236" max="7236" width="20.7109375" style="586" customWidth="1"/>
    <col min="7237" max="7238" width="19.42578125" style="586" customWidth="1"/>
    <col min="7239" max="7239" width="21.42578125" style="586" customWidth="1"/>
    <col min="7240" max="7254" width="19.42578125" style="586" customWidth="1"/>
    <col min="7255" max="7255" width="21.7109375" style="586" customWidth="1"/>
    <col min="7256" max="7266" width="19.42578125" style="586" customWidth="1"/>
    <col min="7267" max="7267" width="20.85546875" style="586" customWidth="1"/>
    <col min="7268" max="7270" width="20" style="586" customWidth="1"/>
    <col min="7271" max="7271" width="20.85546875" style="586" customWidth="1"/>
    <col min="7272" max="7274" width="20" style="586" customWidth="1"/>
    <col min="7275" max="7275" width="20.85546875" style="586" customWidth="1"/>
    <col min="7276" max="7278" width="20" style="586" customWidth="1"/>
    <col min="7279" max="7279" width="20.85546875" style="586" customWidth="1"/>
    <col min="7280" max="7282" width="20" style="586" customWidth="1"/>
    <col min="7283" max="7283" width="20.85546875" style="586" customWidth="1"/>
    <col min="7284" max="7286" width="20" style="586" customWidth="1"/>
    <col min="7287" max="7287" width="20.85546875" style="586" customWidth="1"/>
    <col min="7288" max="7290" width="20" style="586" customWidth="1"/>
    <col min="7291" max="7291" width="20.85546875" style="586" customWidth="1"/>
    <col min="7292" max="7294" width="20" style="586" customWidth="1"/>
    <col min="7295" max="7295" width="20.85546875" style="586" customWidth="1"/>
    <col min="7296" max="7298" width="20" style="586" customWidth="1"/>
    <col min="7299" max="7299" width="20.28515625" style="586" customWidth="1"/>
    <col min="7300" max="7300" width="25.42578125" style="586" customWidth="1"/>
    <col min="7301" max="7301" width="18" style="586" customWidth="1"/>
    <col min="7302" max="7302" width="19.140625" style="586" customWidth="1"/>
    <col min="7303" max="7303" width="21.85546875" style="586" customWidth="1"/>
    <col min="7304" max="7305" width="25.28515625" style="586" customWidth="1"/>
    <col min="7306" max="7306" width="24.42578125" style="586" customWidth="1"/>
    <col min="7307" max="7307" width="36.42578125" style="586" customWidth="1"/>
    <col min="7308" max="7308" width="11.42578125" style="586"/>
    <col min="7309" max="7309" width="19.7109375" style="586" bestFit="1" customWidth="1"/>
    <col min="7310" max="7432" width="11.42578125" style="586"/>
    <col min="7433" max="7433" width="54.140625" style="586" customWidth="1"/>
    <col min="7434" max="7434" width="22.85546875" style="586" customWidth="1"/>
    <col min="7435" max="7438" width="20.28515625" style="586" customWidth="1"/>
    <col min="7439" max="7446" width="18.28515625" style="586" customWidth="1"/>
    <col min="7447" max="7450" width="20.5703125" style="586" customWidth="1"/>
    <col min="7451" max="7451" width="20.28515625" style="586" customWidth="1"/>
    <col min="7452" max="7452" width="25.42578125" style="586" customWidth="1"/>
    <col min="7453" max="7453" width="18" style="586" customWidth="1"/>
    <col min="7454" max="7455" width="19.140625" style="586" customWidth="1"/>
    <col min="7456" max="7456" width="18" style="586" customWidth="1"/>
    <col min="7457" max="7458" width="20.140625" style="586" customWidth="1"/>
    <col min="7459" max="7460" width="18.42578125" style="586" customWidth="1"/>
    <col min="7461" max="7461" width="17.28515625" style="586" customWidth="1"/>
    <col min="7462" max="7462" width="17.140625" style="586" customWidth="1"/>
    <col min="7463" max="7463" width="20.42578125" style="586" customWidth="1"/>
    <col min="7464" max="7466" width="17.140625" style="586" customWidth="1"/>
    <col min="7467" max="7467" width="19.7109375" style="586" customWidth="1"/>
    <col min="7468" max="7470" width="19" style="586" customWidth="1"/>
    <col min="7471" max="7471" width="21" style="586" customWidth="1"/>
    <col min="7472" max="7474" width="19.42578125" style="586" customWidth="1"/>
    <col min="7475" max="7475" width="21" style="586" customWidth="1"/>
    <col min="7476" max="7478" width="19.42578125" style="586" customWidth="1"/>
    <col min="7479" max="7479" width="21" style="586" customWidth="1"/>
    <col min="7480" max="7486" width="19.42578125" style="586" customWidth="1"/>
    <col min="7487" max="7487" width="21.42578125" style="586" customWidth="1"/>
    <col min="7488" max="7488" width="21" style="586" customWidth="1"/>
    <col min="7489" max="7489" width="22.140625" style="586" customWidth="1"/>
    <col min="7490" max="7490" width="21.7109375" style="586" customWidth="1"/>
    <col min="7491" max="7491" width="21.140625" style="586" customWidth="1"/>
    <col min="7492" max="7492" width="20.7109375" style="586" customWidth="1"/>
    <col min="7493" max="7494" width="19.42578125" style="586" customWidth="1"/>
    <col min="7495" max="7495" width="21.42578125" style="586" customWidth="1"/>
    <col min="7496" max="7510" width="19.42578125" style="586" customWidth="1"/>
    <col min="7511" max="7511" width="21.7109375" style="586" customWidth="1"/>
    <col min="7512" max="7522" width="19.42578125" style="586" customWidth="1"/>
    <col min="7523" max="7523" width="20.85546875" style="586" customWidth="1"/>
    <col min="7524" max="7526" width="20" style="586" customWidth="1"/>
    <col min="7527" max="7527" width="20.85546875" style="586" customWidth="1"/>
    <col min="7528" max="7530" width="20" style="586" customWidth="1"/>
    <col min="7531" max="7531" width="20.85546875" style="586" customWidth="1"/>
    <col min="7532" max="7534" width="20" style="586" customWidth="1"/>
    <col min="7535" max="7535" width="20.85546875" style="586" customWidth="1"/>
    <col min="7536" max="7538" width="20" style="586" customWidth="1"/>
    <col min="7539" max="7539" width="20.85546875" style="586" customWidth="1"/>
    <col min="7540" max="7542" width="20" style="586" customWidth="1"/>
    <col min="7543" max="7543" width="20.85546875" style="586" customWidth="1"/>
    <col min="7544" max="7546" width="20" style="586" customWidth="1"/>
    <col min="7547" max="7547" width="20.85546875" style="586" customWidth="1"/>
    <col min="7548" max="7550" width="20" style="586" customWidth="1"/>
    <col min="7551" max="7551" width="20.85546875" style="586" customWidth="1"/>
    <col min="7552" max="7554" width="20" style="586" customWidth="1"/>
    <col min="7555" max="7555" width="20.28515625" style="586" customWidth="1"/>
    <col min="7556" max="7556" width="25.42578125" style="586" customWidth="1"/>
    <col min="7557" max="7557" width="18" style="586" customWidth="1"/>
    <col min="7558" max="7558" width="19.140625" style="586" customWidth="1"/>
    <col min="7559" max="7559" width="21.85546875" style="586" customWidth="1"/>
    <col min="7560" max="7561" width="25.28515625" style="586" customWidth="1"/>
    <col min="7562" max="7562" width="24.42578125" style="586" customWidth="1"/>
    <col min="7563" max="7563" width="36.42578125" style="586" customWidth="1"/>
    <col min="7564" max="7564" width="11.42578125" style="586"/>
    <col min="7565" max="7565" width="19.7109375" style="586" bestFit="1" customWidth="1"/>
    <col min="7566" max="7688" width="11.42578125" style="586"/>
    <col min="7689" max="7689" width="54.140625" style="586" customWidth="1"/>
    <col min="7690" max="7690" width="22.85546875" style="586" customWidth="1"/>
    <col min="7691" max="7694" width="20.28515625" style="586" customWidth="1"/>
    <col min="7695" max="7702" width="18.28515625" style="586" customWidth="1"/>
    <col min="7703" max="7706" width="20.5703125" style="586" customWidth="1"/>
    <col min="7707" max="7707" width="20.28515625" style="586" customWidth="1"/>
    <col min="7708" max="7708" width="25.42578125" style="586" customWidth="1"/>
    <col min="7709" max="7709" width="18" style="586" customWidth="1"/>
    <col min="7710" max="7711" width="19.140625" style="586" customWidth="1"/>
    <col min="7712" max="7712" width="18" style="586" customWidth="1"/>
    <col min="7713" max="7714" width="20.140625" style="586" customWidth="1"/>
    <col min="7715" max="7716" width="18.42578125" style="586" customWidth="1"/>
    <col min="7717" max="7717" width="17.28515625" style="586" customWidth="1"/>
    <col min="7718" max="7718" width="17.140625" style="586" customWidth="1"/>
    <col min="7719" max="7719" width="20.42578125" style="586" customWidth="1"/>
    <col min="7720" max="7722" width="17.140625" style="586" customWidth="1"/>
    <col min="7723" max="7723" width="19.7109375" style="586" customWidth="1"/>
    <col min="7724" max="7726" width="19" style="586" customWidth="1"/>
    <col min="7727" max="7727" width="21" style="586" customWidth="1"/>
    <col min="7728" max="7730" width="19.42578125" style="586" customWidth="1"/>
    <col min="7731" max="7731" width="21" style="586" customWidth="1"/>
    <col min="7732" max="7734" width="19.42578125" style="586" customWidth="1"/>
    <col min="7735" max="7735" width="21" style="586" customWidth="1"/>
    <col min="7736" max="7742" width="19.42578125" style="586" customWidth="1"/>
    <col min="7743" max="7743" width="21.42578125" style="586" customWidth="1"/>
    <col min="7744" max="7744" width="21" style="586" customWidth="1"/>
    <col min="7745" max="7745" width="22.140625" style="586" customWidth="1"/>
    <col min="7746" max="7746" width="21.7109375" style="586" customWidth="1"/>
    <col min="7747" max="7747" width="21.140625" style="586" customWidth="1"/>
    <col min="7748" max="7748" width="20.7109375" style="586" customWidth="1"/>
    <col min="7749" max="7750" width="19.42578125" style="586" customWidth="1"/>
    <col min="7751" max="7751" width="21.42578125" style="586" customWidth="1"/>
    <col min="7752" max="7766" width="19.42578125" style="586" customWidth="1"/>
    <col min="7767" max="7767" width="21.7109375" style="586" customWidth="1"/>
    <col min="7768" max="7778" width="19.42578125" style="586" customWidth="1"/>
    <col min="7779" max="7779" width="20.85546875" style="586" customWidth="1"/>
    <col min="7780" max="7782" width="20" style="586" customWidth="1"/>
    <col min="7783" max="7783" width="20.85546875" style="586" customWidth="1"/>
    <col min="7784" max="7786" width="20" style="586" customWidth="1"/>
    <col min="7787" max="7787" width="20.85546875" style="586" customWidth="1"/>
    <col min="7788" max="7790" width="20" style="586" customWidth="1"/>
    <col min="7791" max="7791" width="20.85546875" style="586" customWidth="1"/>
    <col min="7792" max="7794" width="20" style="586" customWidth="1"/>
    <col min="7795" max="7795" width="20.85546875" style="586" customWidth="1"/>
    <col min="7796" max="7798" width="20" style="586" customWidth="1"/>
    <col min="7799" max="7799" width="20.85546875" style="586" customWidth="1"/>
    <col min="7800" max="7802" width="20" style="586" customWidth="1"/>
    <col min="7803" max="7803" width="20.85546875" style="586" customWidth="1"/>
    <col min="7804" max="7806" width="20" style="586" customWidth="1"/>
    <col min="7807" max="7807" width="20.85546875" style="586" customWidth="1"/>
    <col min="7808" max="7810" width="20" style="586" customWidth="1"/>
    <col min="7811" max="7811" width="20.28515625" style="586" customWidth="1"/>
    <col min="7812" max="7812" width="25.42578125" style="586" customWidth="1"/>
    <col min="7813" max="7813" width="18" style="586" customWidth="1"/>
    <col min="7814" max="7814" width="19.140625" style="586" customWidth="1"/>
    <col min="7815" max="7815" width="21.85546875" style="586" customWidth="1"/>
    <col min="7816" max="7817" width="25.28515625" style="586" customWidth="1"/>
    <col min="7818" max="7818" width="24.42578125" style="586" customWidth="1"/>
    <col min="7819" max="7819" width="36.42578125" style="586" customWidth="1"/>
    <col min="7820" max="7820" width="11.42578125" style="586"/>
    <col min="7821" max="7821" width="19.7109375" style="586" bestFit="1" customWidth="1"/>
    <col min="7822" max="7944" width="11.42578125" style="586"/>
    <col min="7945" max="7945" width="54.140625" style="586" customWidth="1"/>
    <col min="7946" max="7946" width="22.85546875" style="586" customWidth="1"/>
    <col min="7947" max="7950" width="20.28515625" style="586" customWidth="1"/>
    <col min="7951" max="7958" width="18.28515625" style="586" customWidth="1"/>
    <col min="7959" max="7962" width="20.5703125" style="586" customWidth="1"/>
    <col min="7963" max="7963" width="20.28515625" style="586" customWidth="1"/>
    <col min="7964" max="7964" width="25.42578125" style="586" customWidth="1"/>
    <col min="7965" max="7965" width="18" style="586" customWidth="1"/>
    <col min="7966" max="7967" width="19.140625" style="586" customWidth="1"/>
    <col min="7968" max="7968" width="18" style="586" customWidth="1"/>
    <col min="7969" max="7970" width="20.140625" style="586" customWidth="1"/>
    <col min="7971" max="7972" width="18.42578125" style="586" customWidth="1"/>
    <col min="7973" max="7973" width="17.28515625" style="586" customWidth="1"/>
    <col min="7974" max="7974" width="17.140625" style="586" customWidth="1"/>
    <col min="7975" max="7975" width="20.42578125" style="586" customWidth="1"/>
    <col min="7976" max="7978" width="17.140625" style="586" customWidth="1"/>
    <col min="7979" max="7979" width="19.7109375" style="586" customWidth="1"/>
    <col min="7980" max="7982" width="19" style="586" customWidth="1"/>
    <col min="7983" max="7983" width="21" style="586" customWidth="1"/>
    <col min="7984" max="7986" width="19.42578125" style="586" customWidth="1"/>
    <col min="7987" max="7987" width="21" style="586" customWidth="1"/>
    <col min="7988" max="7990" width="19.42578125" style="586" customWidth="1"/>
    <col min="7991" max="7991" width="21" style="586" customWidth="1"/>
    <col min="7992" max="7998" width="19.42578125" style="586" customWidth="1"/>
    <col min="7999" max="7999" width="21.42578125" style="586" customWidth="1"/>
    <col min="8000" max="8000" width="21" style="586" customWidth="1"/>
    <col min="8001" max="8001" width="22.140625" style="586" customWidth="1"/>
    <col min="8002" max="8002" width="21.7109375" style="586" customWidth="1"/>
    <col min="8003" max="8003" width="21.140625" style="586" customWidth="1"/>
    <col min="8004" max="8004" width="20.7109375" style="586" customWidth="1"/>
    <col min="8005" max="8006" width="19.42578125" style="586" customWidth="1"/>
    <col min="8007" max="8007" width="21.42578125" style="586" customWidth="1"/>
    <col min="8008" max="8022" width="19.42578125" style="586" customWidth="1"/>
    <col min="8023" max="8023" width="21.7109375" style="586" customWidth="1"/>
    <col min="8024" max="8034" width="19.42578125" style="586" customWidth="1"/>
    <col min="8035" max="8035" width="20.85546875" style="586" customWidth="1"/>
    <col min="8036" max="8038" width="20" style="586" customWidth="1"/>
    <col min="8039" max="8039" width="20.85546875" style="586" customWidth="1"/>
    <col min="8040" max="8042" width="20" style="586" customWidth="1"/>
    <col min="8043" max="8043" width="20.85546875" style="586" customWidth="1"/>
    <col min="8044" max="8046" width="20" style="586" customWidth="1"/>
    <col min="8047" max="8047" width="20.85546875" style="586" customWidth="1"/>
    <col min="8048" max="8050" width="20" style="586" customWidth="1"/>
    <col min="8051" max="8051" width="20.85546875" style="586" customWidth="1"/>
    <col min="8052" max="8054" width="20" style="586" customWidth="1"/>
    <col min="8055" max="8055" width="20.85546875" style="586" customWidth="1"/>
    <col min="8056" max="8058" width="20" style="586" customWidth="1"/>
    <col min="8059" max="8059" width="20.85546875" style="586" customWidth="1"/>
    <col min="8060" max="8062" width="20" style="586" customWidth="1"/>
    <col min="8063" max="8063" width="20.85546875" style="586" customWidth="1"/>
    <col min="8064" max="8066" width="20" style="586" customWidth="1"/>
    <col min="8067" max="8067" width="20.28515625" style="586" customWidth="1"/>
    <col min="8068" max="8068" width="25.42578125" style="586" customWidth="1"/>
    <col min="8069" max="8069" width="18" style="586" customWidth="1"/>
    <col min="8070" max="8070" width="19.140625" style="586" customWidth="1"/>
    <col min="8071" max="8071" width="21.85546875" style="586" customWidth="1"/>
    <col min="8072" max="8073" width="25.28515625" style="586" customWidth="1"/>
    <col min="8074" max="8074" width="24.42578125" style="586" customWidth="1"/>
    <col min="8075" max="8075" width="36.42578125" style="586" customWidth="1"/>
    <col min="8076" max="8076" width="11.42578125" style="586"/>
    <col min="8077" max="8077" width="19.7109375" style="586" bestFit="1" customWidth="1"/>
    <col min="8078" max="8200" width="11.42578125" style="586"/>
    <col min="8201" max="8201" width="54.140625" style="586" customWidth="1"/>
    <col min="8202" max="8202" width="22.85546875" style="586" customWidth="1"/>
    <col min="8203" max="8206" width="20.28515625" style="586" customWidth="1"/>
    <col min="8207" max="8214" width="18.28515625" style="586" customWidth="1"/>
    <col min="8215" max="8218" width="20.5703125" style="586" customWidth="1"/>
    <col min="8219" max="8219" width="20.28515625" style="586" customWidth="1"/>
    <col min="8220" max="8220" width="25.42578125" style="586" customWidth="1"/>
    <col min="8221" max="8221" width="18" style="586" customWidth="1"/>
    <col min="8222" max="8223" width="19.140625" style="586" customWidth="1"/>
    <col min="8224" max="8224" width="18" style="586" customWidth="1"/>
    <col min="8225" max="8226" width="20.140625" style="586" customWidth="1"/>
    <col min="8227" max="8228" width="18.42578125" style="586" customWidth="1"/>
    <col min="8229" max="8229" width="17.28515625" style="586" customWidth="1"/>
    <col min="8230" max="8230" width="17.140625" style="586" customWidth="1"/>
    <col min="8231" max="8231" width="20.42578125" style="586" customWidth="1"/>
    <col min="8232" max="8234" width="17.140625" style="586" customWidth="1"/>
    <col min="8235" max="8235" width="19.7109375" style="586" customWidth="1"/>
    <col min="8236" max="8238" width="19" style="586" customWidth="1"/>
    <col min="8239" max="8239" width="21" style="586" customWidth="1"/>
    <col min="8240" max="8242" width="19.42578125" style="586" customWidth="1"/>
    <col min="8243" max="8243" width="21" style="586" customWidth="1"/>
    <col min="8244" max="8246" width="19.42578125" style="586" customWidth="1"/>
    <col min="8247" max="8247" width="21" style="586" customWidth="1"/>
    <col min="8248" max="8254" width="19.42578125" style="586" customWidth="1"/>
    <col min="8255" max="8255" width="21.42578125" style="586" customWidth="1"/>
    <col min="8256" max="8256" width="21" style="586" customWidth="1"/>
    <col min="8257" max="8257" width="22.140625" style="586" customWidth="1"/>
    <col min="8258" max="8258" width="21.7109375" style="586" customWidth="1"/>
    <col min="8259" max="8259" width="21.140625" style="586" customWidth="1"/>
    <col min="8260" max="8260" width="20.7109375" style="586" customWidth="1"/>
    <col min="8261" max="8262" width="19.42578125" style="586" customWidth="1"/>
    <col min="8263" max="8263" width="21.42578125" style="586" customWidth="1"/>
    <col min="8264" max="8278" width="19.42578125" style="586" customWidth="1"/>
    <col min="8279" max="8279" width="21.7109375" style="586" customWidth="1"/>
    <col min="8280" max="8290" width="19.42578125" style="586" customWidth="1"/>
    <col min="8291" max="8291" width="20.85546875" style="586" customWidth="1"/>
    <col min="8292" max="8294" width="20" style="586" customWidth="1"/>
    <col min="8295" max="8295" width="20.85546875" style="586" customWidth="1"/>
    <col min="8296" max="8298" width="20" style="586" customWidth="1"/>
    <col min="8299" max="8299" width="20.85546875" style="586" customWidth="1"/>
    <col min="8300" max="8302" width="20" style="586" customWidth="1"/>
    <col min="8303" max="8303" width="20.85546875" style="586" customWidth="1"/>
    <col min="8304" max="8306" width="20" style="586" customWidth="1"/>
    <col min="8307" max="8307" width="20.85546875" style="586" customWidth="1"/>
    <col min="8308" max="8310" width="20" style="586" customWidth="1"/>
    <col min="8311" max="8311" width="20.85546875" style="586" customWidth="1"/>
    <col min="8312" max="8314" width="20" style="586" customWidth="1"/>
    <col min="8315" max="8315" width="20.85546875" style="586" customWidth="1"/>
    <col min="8316" max="8318" width="20" style="586" customWidth="1"/>
    <col min="8319" max="8319" width="20.85546875" style="586" customWidth="1"/>
    <col min="8320" max="8322" width="20" style="586" customWidth="1"/>
    <col min="8323" max="8323" width="20.28515625" style="586" customWidth="1"/>
    <col min="8324" max="8324" width="25.42578125" style="586" customWidth="1"/>
    <col min="8325" max="8325" width="18" style="586" customWidth="1"/>
    <col min="8326" max="8326" width="19.140625" style="586" customWidth="1"/>
    <col min="8327" max="8327" width="21.85546875" style="586" customWidth="1"/>
    <col min="8328" max="8329" width="25.28515625" style="586" customWidth="1"/>
    <col min="8330" max="8330" width="24.42578125" style="586" customWidth="1"/>
    <col min="8331" max="8331" width="36.42578125" style="586" customWidth="1"/>
    <col min="8332" max="8332" width="11.42578125" style="586"/>
    <col min="8333" max="8333" width="19.7109375" style="586" bestFit="1" customWidth="1"/>
    <col min="8334" max="8456" width="11.42578125" style="586"/>
    <col min="8457" max="8457" width="54.140625" style="586" customWidth="1"/>
    <col min="8458" max="8458" width="22.85546875" style="586" customWidth="1"/>
    <col min="8459" max="8462" width="20.28515625" style="586" customWidth="1"/>
    <col min="8463" max="8470" width="18.28515625" style="586" customWidth="1"/>
    <col min="8471" max="8474" width="20.5703125" style="586" customWidth="1"/>
    <col min="8475" max="8475" width="20.28515625" style="586" customWidth="1"/>
    <col min="8476" max="8476" width="25.42578125" style="586" customWidth="1"/>
    <col min="8477" max="8477" width="18" style="586" customWidth="1"/>
    <col min="8478" max="8479" width="19.140625" style="586" customWidth="1"/>
    <col min="8480" max="8480" width="18" style="586" customWidth="1"/>
    <col min="8481" max="8482" width="20.140625" style="586" customWidth="1"/>
    <col min="8483" max="8484" width="18.42578125" style="586" customWidth="1"/>
    <col min="8485" max="8485" width="17.28515625" style="586" customWidth="1"/>
    <col min="8486" max="8486" width="17.140625" style="586" customWidth="1"/>
    <col min="8487" max="8487" width="20.42578125" style="586" customWidth="1"/>
    <col min="8488" max="8490" width="17.140625" style="586" customWidth="1"/>
    <col min="8491" max="8491" width="19.7109375" style="586" customWidth="1"/>
    <col min="8492" max="8494" width="19" style="586" customWidth="1"/>
    <col min="8495" max="8495" width="21" style="586" customWidth="1"/>
    <col min="8496" max="8498" width="19.42578125" style="586" customWidth="1"/>
    <col min="8499" max="8499" width="21" style="586" customWidth="1"/>
    <col min="8500" max="8502" width="19.42578125" style="586" customWidth="1"/>
    <col min="8503" max="8503" width="21" style="586" customWidth="1"/>
    <col min="8504" max="8510" width="19.42578125" style="586" customWidth="1"/>
    <col min="8511" max="8511" width="21.42578125" style="586" customWidth="1"/>
    <col min="8512" max="8512" width="21" style="586" customWidth="1"/>
    <col min="8513" max="8513" width="22.140625" style="586" customWidth="1"/>
    <col min="8514" max="8514" width="21.7109375" style="586" customWidth="1"/>
    <col min="8515" max="8515" width="21.140625" style="586" customWidth="1"/>
    <col min="8516" max="8516" width="20.7109375" style="586" customWidth="1"/>
    <col min="8517" max="8518" width="19.42578125" style="586" customWidth="1"/>
    <col min="8519" max="8519" width="21.42578125" style="586" customWidth="1"/>
    <col min="8520" max="8534" width="19.42578125" style="586" customWidth="1"/>
    <col min="8535" max="8535" width="21.7109375" style="586" customWidth="1"/>
    <col min="8536" max="8546" width="19.42578125" style="586" customWidth="1"/>
    <col min="8547" max="8547" width="20.85546875" style="586" customWidth="1"/>
    <col min="8548" max="8550" width="20" style="586" customWidth="1"/>
    <col min="8551" max="8551" width="20.85546875" style="586" customWidth="1"/>
    <col min="8552" max="8554" width="20" style="586" customWidth="1"/>
    <col min="8555" max="8555" width="20.85546875" style="586" customWidth="1"/>
    <col min="8556" max="8558" width="20" style="586" customWidth="1"/>
    <col min="8559" max="8559" width="20.85546875" style="586" customWidth="1"/>
    <col min="8560" max="8562" width="20" style="586" customWidth="1"/>
    <col min="8563" max="8563" width="20.85546875" style="586" customWidth="1"/>
    <col min="8564" max="8566" width="20" style="586" customWidth="1"/>
    <col min="8567" max="8567" width="20.85546875" style="586" customWidth="1"/>
    <col min="8568" max="8570" width="20" style="586" customWidth="1"/>
    <col min="8571" max="8571" width="20.85546875" style="586" customWidth="1"/>
    <col min="8572" max="8574" width="20" style="586" customWidth="1"/>
    <col min="8575" max="8575" width="20.85546875" style="586" customWidth="1"/>
    <col min="8576" max="8578" width="20" style="586" customWidth="1"/>
    <col min="8579" max="8579" width="20.28515625" style="586" customWidth="1"/>
    <col min="8580" max="8580" width="25.42578125" style="586" customWidth="1"/>
    <col min="8581" max="8581" width="18" style="586" customWidth="1"/>
    <col min="8582" max="8582" width="19.140625" style="586" customWidth="1"/>
    <col min="8583" max="8583" width="21.85546875" style="586" customWidth="1"/>
    <col min="8584" max="8585" width="25.28515625" style="586" customWidth="1"/>
    <col min="8586" max="8586" width="24.42578125" style="586" customWidth="1"/>
    <col min="8587" max="8587" width="36.42578125" style="586" customWidth="1"/>
    <col min="8588" max="8588" width="11.42578125" style="586"/>
    <col min="8589" max="8589" width="19.7109375" style="586" bestFit="1" customWidth="1"/>
    <col min="8590" max="8712" width="11.42578125" style="586"/>
    <col min="8713" max="8713" width="54.140625" style="586" customWidth="1"/>
    <col min="8714" max="8714" width="22.85546875" style="586" customWidth="1"/>
    <col min="8715" max="8718" width="20.28515625" style="586" customWidth="1"/>
    <col min="8719" max="8726" width="18.28515625" style="586" customWidth="1"/>
    <col min="8727" max="8730" width="20.5703125" style="586" customWidth="1"/>
    <col min="8731" max="8731" width="20.28515625" style="586" customWidth="1"/>
    <col min="8732" max="8732" width="25.42578125" style="586" customWidth="1"/>
    <col min="8733" max="8733" width="18" style="586" customWidth="1"/>
    <col min="8734" max="8735" width="19.140625" style="586" customWidth="1"/>
    <col min="8736" max="8736" width="18" style="586" customWidth="1"/>
    <col min="8737" max="8738" width="20.140625" style="586" customWidth="1"/>
    <col min="8739" max="8740" width="18.42578125" style="586" customWidth="1"/>
    <col min="8741" max="8741" width="17.28515625" style="586" customWidth="1"/>
    <col min="8742" max="8742" width="17.140625" style="586" customWidth="1"/>
    <col min="8743" max="8743" width="20.42578125" style="586" customWidth="1"/>
    <col min="8744" max="8746" width="17.140625" style="586" customWidth="1"/>
    <col min="8747" max="8747" width="19.7109375" style="586" customWidth="1"/>
    <col min="8748" max="8750" width="19" style="586" customWidth="1"/>
    <col min="8751" max="8751" width="21" style="586" customWidth="1"/>
    <col min="8752" max="8754" width="19.42578125" style="586" customWidth="1"/>
    <col min="8755" max="8755" width="21" style="586" customWidth="1"/>
    <col min="8756" max="8758" width="19.42578125" style="586" customWidth="1"/>
    <col min="8759" max="8759" width="21" style="586" customWidth="1"/>
    <col min="8760" max="8766" width="19.42578125" style="586" customWidth="1"/>
    <col min="8767" max="8767" width="21.42578125" style="586" customWidth="1"/>
    <col min="8768" max="8768" width="21" style="586" customWidth="1"/>
    <col min="8769" max="8769" width="22.140625" style="586" customWidth="1"/>
    <col min="8770" max="8770" width="21.7109375" style="586" customWidth="1"/>
    <col min="8771" max="8771" width="21.140625" style="586" customWidth="1"/>
    <col min="8772" max="8772" width="20.7109375" style="586" customWidth="1"/>
    <col min="8773" max="8774" width="19.42578125" style="586" customWidth="1"/>
    <col min="8775" max="8775" width="21.42578125" style="586" customWidth="1"/>
    <col min="8776" max="8790" width="19.42578125" style="586" customWidth="1"/>
    <col min="8791" max="8791" width="21.7109375" style="586" customWidth="1"/>
    <col min="8792" max="8802" width="19.42578125" style="586" customWidth="1"/>
    <col min="8803" max="8803" width="20.85546875" style="586" customWidth="1"/>
    <col min="8804" max="8806" width="20" style="586" customWidth="1"/>
    <col min="8807" max="8807" width="20.85546875" style="586" customWidth="1"/>
    <col min="8808" max="8810" width="20" style="586" customWidth="1"/>
    <col min="8811" max="8811" width="20.85546875" style="586" customWidth="1"/>
    <col min="8812" max="8814" width="20" style="586" customWidth="1"/>
    <col min="8815" max="8815" width="20.85546875" style="586" customWidth="1"/>
    <col min="8816" max="8818" width="20" style="586" customWidth="1"/>
    <col min="8819" max="8819" width="20.85546875" style="586" customWidth="1"/>
    <col min="8820" max="8822" width="20" style="586" customWidth="1"/>
    <col min="8823" max="8823" width="20.85546875" style="586" customWidth="1"/>
    <col min="8824" max="8826" width="20" style="586" customWidth="1"/>
    <col min="8827" max="8827" width="20.85546875" style="586" customWidth="1"/>
    <col min="8828" max="8830" width="20" style="586" customWidth="1"/>
    <col min="8831" max="8831" width="20.85546875" style="586" customWidth="1"/>
    <col min="8832" max="8834" width="20" style="586" customWidth="1"/>
    <col min="8835" max="8835" width="20.28515625" style="586" customWidth="1"/>
    <col min="8836" max="8836" width="25.42578125" style="586" customWidth="1"/>
    <col min="8837" max="8837" width="18" style="586" customWidth="1"/>
    <col min="8838" max="8838" width="19.140625" style="586" customWidth="1"/>
    <col min="8839" max="8839" width="21.85546875" style="586" customWidth="1"/>
    <col min="8840" max="8841" width="25.28515625" style="586" customWidth="1"/>
    <col min="8842" max="8842" width="24.42578125" style="586" customWidth="1"/>
    <col min="8843" max="8843" width="36.42578125" style="586" customWidth="1"/>
    <col min="8844" max="8844" width="11.42578125" style="586"/>
    <col min="8845" max="8845" width="19.7109375" style="586" bestFit="1" customWidth="1"/>
    <col min="8846" max="8968" width="11.42578125" style="586"/>
    <col min="8969" max="8969" width="54.140625" style="586" customWidth="1"/>
    <col min="8970" max="8970" width="22.85546875" style="586" customWidth="1"/>
    <col min="8971" max="8974" width="20.28515625" style="586" customWidth="1"/>
    <col min="8975" max="8982" width="18.28515625" style="586" customWidth="1"/>
    <col min="8983" max="8986" width="20.5703125" style="586" customWidth="1"/>
    <col min="8987" max="8987" width="20.28515625" style="586" customWidth="1"/>
    <col min="8988" max="8988" width="25.42578125" style="586" customWidth="1"/>
    <col min="8989" max="8989" width="18" style="586" customWidth="1"/>
    <col min="8990" max="8991" width="19.140625" style="586" customWidth="1"/>
    <col min="8992" max="8992" width="18" style="586" customWidth="1"/>
    <col min="8993" max="8994" width="20.140625" style="586" customWidth="1"/>
    <col min="8995" max="8996" width="18.42578125" style="586" customWidth="1"/>
    <col min="8997" max="8997" width="17.28515625" style="586" customWidth="1"/>
    <col min="8998" max="8998" width="17.140625" style="586" customWidth="1"/>
    <col min="8999" max="8999" width="20.42578125" style="586" customWidth="1"/>
    <col min="9000" max="9002" width="17.140625" style="586" customWidth="1"/>
    <col min="9003" max="9003" width="19.7109375" style="586" customWidth="1"/>
    <col min="9004" max="9006" width="19" style="586" customWidth="1"/>
    <col min="9007" max="9007" width="21" style="586" customWidth="1"/>
    <col min="9008" max="9010" width="19.42578125" style="586" customWidth="1"/>
    <col min="9011" max="9011" width="21" style="586" customWidth="1"/>
    <col min="9012" max="9014" width="19.42578125" style="586" customWidth="1"/>
    <col min="9015" max="9015" width="21" style="586" customWidth="1"/>
    <col min="9016" max="9022" width="19.42578125" style="586" customWidth="1"/>
    <col min="9023" max="9023" width="21.42578125" style="586" customWidth="1"/>
    <col min="9024" max="9024" width="21" style="586" customWidth="1"/>
    <col min="9025" max="9025" width="22.140625" style="586" customWidth="1"/>
    <col min="9026" max="9026" width="21.7109375" style="586" customWidth="1"/>
    <col min="9027" max="9027" width="21.140625" style="586" customWidth="1"/>
    <col min="9028" max="9028" width="20.7109375" style="586" customWidth="1"/>
    <col min="9029" max="9030" width="19.42578125" style="586" customWidth="1"/>
    <col min="9031" max="9031" width="21.42578125" style="586" customWidth="1"/>
    <col min="9032" max="9046" width="19.42578125" style="586" customWidth="1"/>
    <col min="9047" max="9047" width="21.7109375" style="586" customWidth="1"/>
    <col min="9048" max="9058" width="19.42578125" style="586" customWidth="1"/>
    <col min="9059" max="9059" width="20.85546875" style="586" customWidth="1"/>
    <col min="9060" max="9062" width="20" style="586" customWidth="1"/>
    <col min="9063" max="9063" width="20.85546875" style="586" customWidth="1"/>
    <col min="9064" max="9066" width="20" style="586" customWidth="1"/>
    <col min="9067" max="9067" width="20.85546875" style="586" customWidth="1"/>
    <col min="9068" max="9070" width="20" style="586" customWidth="1"/>
    <col min="9071" max="9071" width="20.85546875" style="586" customWidth="1"/>
    <col min="9072" max="9074" width="20" style="586" customWidth="1"/>
    <col min="9075" max="9075" width="20.85546875" style="586" customWidth="1"/>
    <col min="9076" max="9078" width="20" style="586" customWidth="1"/>
    <col min="9079" max="9079" width="20.85546875" style="586" customWidth="1"/>
    <col min="9080" max="9082" width="20" style="586" customWidth="1"/>
    <col min="9083" max="9083" width="20.85546875" style="586" customWidth="1"/>
    <col min="9084" max="9086" width="20" style="586" customWidth="1"/>
    <col min="9087" max="9087" width="20.85546875" style="586" customWidth="1"/>
    <col min="9088" max="9090" width="20" style="586" customWidth="1"/>
    <col min="9091" max="9091" width="20.28515625" style="586" customWidth="1"/>
    <col min="9092" max="9092" width="25.42578125" style="586" customWidth="1"/>
    <col min="9093" max="9093" width="18" style="586" customWidth="1"/>
    <col min="9094" max="9094" width="19.140625" style="586" customWidth="1"/>
    <col min="9095" max="9095" width="21.85546875" style="586" customWidth="1"/>
    <col min="9096" max="9097" width="25.28515625" style="586" customWidth="1"/>
    <col min="9098" max="9098" width="24.42578125" style="586" customWidth="1"/>
    <col min="9099" max="9099" width="36.42578125" style="586" customWidth="1"/>
    <col min="9100" max="9100" width="11.42578125" style="586"/>
    <col min="9101" max="9101" width="19.7109375" style="586" bestFit="1" customWidth="1"/>
    <col min="9102" max="9224" width="11.42578125" style="586"/>
    <col min="9225" max="9225" width="54.140625" style="586" customWidth="1"/>
    <col min="9226" max="9226" width="22.85546875" style="586" customWidth="1"/>
    <col min="9227" max="9230" width="20.28515625" style="586" customWidth="1"/>
    <col min="9231" max="9238" width="18.28515625" style="586" customWidth="1"/>
    <col min="9239" max="9242" width="20.5703125" style="586" customWidth="1"/>
    <col min="9243" max="9243" width="20.28515625" style="586" customWidth="1"/>
    <col min="9244" max="9244" width="25.42578125" style="586" customWidth="1"/>
    <col min="9245" max="9245" width="18" style="586" customWidth="1"/>
    <col min="9246" max="9247" width="19.140625" style="586" customWidth="1"/>
    <col min="9248" max="9248" width="18" style="586" customWidth="1"/>
    <col min="9249" max="9250" width="20.140625" style="586" customWidth="1"/>
    <col min="9251" max="9252" width="18.42578125" style="586" customWidth="1"/>
    <col min="9253" max="9253" width="17.28515625" style="586" customWidth="1"/>
    <col min="9254" max="9254" width="17.140625" style="586" customWidth="1"/>
    <col min="9255" max="9255" width="20.42578125" style="586" customWidth="1"/>
    <col min="9256" max="9258" width="17.140625" style="586" customWidth="1"/>
    <col min="9259" max="9259" width="19.7109375" style="586" customWidth="1"/>
    <col min="9260" max="9262" width="19" style="586" customWidth="1"/>
    <col min="9263" max="9263" width="21" style="586" customWidth="1"/>
    <col min="9264" max="9266" width="19.42578125" style="586" customWidth="1"/>
    <col min="9267" max="9267" width="21" style="586" customWidth="1"/>
    <col min="9268" max="9270" width="19.42578125" style="586" customWidth="1"/>
    <col min="9271" max="9271" width="21" style="586" customWidth="1"/>
    <col min="9272" max="9278" width="19.42578125" style="586" customWidth="1"/>
    <col min="9279" max="9279" width="21.42578125" style="586" customWidth="1"/>
    <col min="9280" max="9280" width="21" style="586" customWidth="1"/>
    <col min="9281" max="9281" width="22.140625" style="586" customWidth="1"/>
    <col min="9282" max="9282" width="21.7109375" style="586" customWidth="1"/>
    <col min="9283" max="9283" width="21.140625" style="586" customWidth="1"/>
    <col min="9284" max="9284" width="20.7109375" style="586" customWidth="1"/>
    <col min="9285" max="9286" width="19.42578125" style="586" customWidth="1"/>
    <col min="9287" max="9287" width="21.42578125" style="586" customWidth="1"/>
    <col min="9288" max="9302" width="19.42578125" style="586" customWidth="1"/>
    <col min="9303" max="9303" width="21.7109375" style="586" customWidth="1"/>
    <col min="9304" max="9314" width="19.42578125" style="586" customWidth="1"/>
    <col min="9315" max="9315" width="20.85546875" style="586" customWidth="1"/>
    <col min="9316" max="9318" width="20" style="586" customWidth="1"/>
    <col min="9319" max="9319" width="20.85546875" style="586" customWidth="1"/>
    <col min="9320" max="9322" width="20" style="586" customWidth="1"/>
    <col min="9323" max="9323" width="20.85546875" style="586" customWidth="1"/>
    <col min="9324" max="9326" width="20" style="586" customWidth="1"/>
    <col min="9327" max="9327" width="20.85546875" style="586" customWidth="1"/>
    <col min="9328" max="9330" width="20" style="586" customWidth="1"/>
    <col min="9331" max="9331" width="20.85546875" style="586" customWidth="1"/>
    <col min="9332" max="9334" width="20" style="586" customWidth="1"/>
    <col min="9335" max="9335" width="20.85546875" style="586" customWidth="1"/>
    <col min="9336" max="9338" width="20" style="586" customWidth="1"/>
    <col min="9339" max="9339" width="20.85546875" style="586" customWidth="1"/>
    <col min="9340" max="9342" width="20" style="586" customWidth="1"/>
    <col min="9343" max="9343" width="20.85546875" style="586" customWidth="1"/>
    <col min="9344" max="9346" width="20" style="586" customWidth="1"/>
    <col min="9347" max="9347" width="20.28515625" style="586" customWidth="1"/>
    <col min="9348" max="9348" width="25.42578125" style="586" customWidth="1"/>
    <col min="9349" max="9349" width="18" style="586" customWidth="1"/>
    <col min="9350" max="9350" width="19.140625" style="586" customWidth="1"/>
    <col min="9351" max="9351" width="21.85546875" style="586" customWidth="1"/>
    <col min="9352" max="9353" width="25.28515625" style="586" customWidth="1"/>
    <col min="9354" max="9354" width="24.42578125" style="586" customWidth="1"/>
    <col min="9355" max="9355" width="36.42578125" style="586" customWidth="1"/>
    <col min="9356" max="9356" width="11.42578125" style="586"/>
    <col min="9357" max="9357" width="19.7109375" style="586" bestFit="1" customWidth="1"/>
    <col min="9358" max="9480" width="11.42578125" style="586"/>
    <col min="9481" max="9481" width="54.140625" style="586" customWidth="1"/>
    <col min="9482" max="9482" width="22.85546875" style="586" customWidth="1"/>
    <col min="9483" max="9486" width="20.28515625" style="586" customWidth="1"/>
    <col min="9487" max="9494" width="18.28515625" style="586" customWidth="1"/>
    <col min="9495" max="9498" width="20.5703125" style="586" customWidth="1"/>
    <col min="9499" max="9499" width="20.28515625" style="586" customWidth="1"/>
    <col min="9500" max="9500" width="25.42578125" style="586" customWidth="1"/>
    <col min="9501" max="9501" width="18" style="586" customWidth="1"/>
    <col min="9502" max="9503" width="19.140625" style="586" customWidth="1"/>
    <col min="9504" max="9504" width="18" style="586" customWidth="1"/>
    <col min="9505" max="9506" width="20.140625" style="586" customWidth="1"/>
    <col min="9507" max="9508" width="18.42578125" style="586" customWidth="1"/>
    <col min="9509" max="9509" width="17.28515625" style="586" customWidth="1"/>
    <col min="9510" max="9510" width="17.140625" style="586" customWidth="1"/>
    <col min="9511" max="9511" width="20.42578125" style="586" customWidth="1"/>
    <col min="9512" max="9514" width="17.140625" style="586" customWidth="1"/>
    <col min="9515" max="9515" width="19.7109375" style="586" customWidth="1"/>
    <col min="9516" max="9518" width="19" style="586" customWidth="1"/>
    <col min="9519" max="9519" width="21" style="586" customWidth="1"/>
    <col min="9520" max="9522" width="19.42578125" style="586" customWidth="1"/>
    <col min="9523" max="9523" width="21" style="586" customWidth="1"/>
    <col min="9524" max="9526" width="19.42578125" style="586" customWidth="1"/>
    <col min="9527" max="9527" width="21" style="586" customWidth="1"/>
    <col min="9528" max="9534" width="19.42578125" style="586" customWidth="1"/>
    <col min="9535" max="9535" width="21.42578125" style="586" customWidth="1"/>
    <col min="9536" max="9536" width="21" style="586" customWidth="1"/>
    <col min="9537" max="9537" width="22.140625" style="586" customWidth="1"/>
    <col min="9538" max="9538" width="21.7109375" style="586" customWidth="1"/>
    <col min="9539" max="9539" width="21.140625" style="586" customWidth="1"/>
    <col min="9540" max="9540" width="20.7109375" style="586" customWidth="1"/>
    <col min="9541" max="9542" width="19.42578125" style="586" customWidth="1"/>
    <col min="9543" max="9543" width="21.42578125" style="586" customWidth="1"/>
    <col min="9544" max="9558" width="19.42578125" style="586" customWidth="1"/>
    <col min="9559" max="9559" width="21.7109375" style="586" customWidth="1"/>
    <col min="9560" max="9570" width="19.42578125" style="586" customWidth="1"/>
    <col min="9571" max="9571" width="20.85546875" style="586" customWidth="1"/>
    <col min="9572" max="9574" width="20" style="586" customWidth="1"/>
    <col min="9575" max="9575" width="20.85546875" style="586" customWidth="1"/>
    <col min="9576" max="9578" width="20" style="586" customWidth="1"/>
    <col min="9579" max="9579" width="20.85546875" style="586" customWidth="1"/>
    <col min="9580" max="9582" width="20" style="586" customWidth="1"/>
    <col min="9583" max="9583" width="20.85546875" style="586" customWidth="1"/>
    <col min="9584" max="9586" width="20" style="586" customWidth="1"/>
    <col min="9587" max="9587" width="20.85546875" style="586" customWidth="1"/>
    <col min="9588" max="9590" width="20" style="586" customWidth="1"/>
    <col min="9591" max="9591" width="20.85546875" style="586" customWidth="1"/>
    <col min="9592" max="9594" width="20" style="586" customWidth="1"/>
    <col min="9595" max="9595" width="20.85546875" style="586" customWidth="1"/>
    <col min="9596" max="9598" width="20" style="586" customWidth="1"/>
    <col min="9599" max="9599" width="20.85546875" style="586" customWidth="1"/>
    <col min="9600" max="9602" width="20" style="586" customWidth="1"/>
    <col min="9603" max="9603" width="20.28515625" style="586" customWidth="1"/>
    <col min="9604" max="9604" width="25.42578125" style="586" customWidth="1"/>
    <col min="9605" max="9605" width="18" style="586" customWidth="1"/>
    <col min="9606" max="9606" width="19.140625" style="586" customWidth="1"/>
    <col min="9607" max="9607" width="21.85546875" style="586" customWidth="1"/>
    <col min="9608" max="9609" width="25.28515625" style="586" customWidth="1"/>
    <col min="9610" max="9610" width="24.42578125" style="586" customWidth="1"/>
    <col min="9611" max="9611" width="36.42578125" style="586" customWidth="1"/>
    <col min="9612" max="9612" width="11.42578125" style="586"/>
    <col min="9613" max="9613" width="19.7109375" style="586" bestFit="1" customWidth="1"/>
    <col min="9614" max="9736" width="11.42578125" style="586"/>
    <col min="9737" max="9737" width="54.140625" style="586" customWidth="1"/>
    <col min="9738" max="9738" width="22.85546875" style="586" customWidth="1"/>
    <col min="9739" max="9742" width="20.28515625" style="586" customWidth="1"/>
    <col min="9743" max="9750" width="18.28515625" style="586" customWidth="1"/>
    <col min="9751" max="9754" width="20.5703125" style="586" customWidth="1"/>
    <col min="9755" max="9755" width="20.28515625" style="586" customWidth="1"/>
    <col min="9756" max="9756" width="25.42578125" style="586" customWidth="1"/>
    <col min="9757" max="9757" width="18" style="586" customWidth="1"/>
    <col min="9758" max="9759" width="19.140625" style="586" customWidth="1"/>
    <col min="9760" max="9760" width="18" style="586" customWidth="1"/>
    <col min="9761" max="9762" width="20.140625" style="586" customWidth="1"/>
    <col min="9763" max="9764" width="18.42578125" style="586" customWidth="1"/>
    <col min="9765" max="9765" width="17.28515625" style="586" customWidth="1"/>
    <col min="9766" max="9766" width="17.140625" style="586" customWidth="1"/>
    <col min="9767" max="9767" width="20.42578125" style="586" customWidth="1"/>
    <col min="9768" max="9770" width="17.140625" style="586" customWidth="1"/>
    <col min="9771" max="9771" width="19.7109375" style="586" customWidth="1"/>
    <col min="9772" max="9774" width="19" style="586" customWidth="1"/>
    <col min="9775" max="9775" width="21" style="586" customWidth="1"/>
    <col min="9776" max="9778" width="19.42578125" style="586" customWidth="1"/>
    <col min="9779" max="9779" width="21" style="586" customWidth="1"/>
    <col min="9780" max="9782" width="19.42578125" style="586" customWidth="1"/>
    <col min="9783" max="9783" width="21" style="586" customWidth="1"/>
    <col min="9784" max="9790" width="19.42578125" style="586" customWidth="1"/>
    <col min="9791" max="9791" width="21.42578125" style="586" customWidth="1"/>
    <col min="9792" max="9792" width="21" style="586" customWidth="1"/>
    <col min="9793" max="9793" width="22.140625" style="586" customWidth="1"/>
    <col min="9794" max="9794" width="21.7109375" style="586" customWidth="1"/>
    <col min="9795" max="9795" width="21.140625" style="586" customWidth="1"/>
    <col min="9796" max="9796" width="20.7109375" style="586" customWidth="1"/>
    <col min="9797" max="9798" width="19.42578125" style="586" customWidth="1"/>
    <col min="9799" max="9799" width="21.42578125" style="586" customWidth="1"/>
    <col min="9800" max="9814" width="19.42578125" style="586" customWidth="1"/>
    <col min="9815" max="9815" width="21.7109375" style="586" customWidth="1"/>
    <col min="9816" max="9826" width="19.42578125" style="586" customWidth="1"/>
    <col min="9827" max="9827" width="20.85546875" style="586" customWidth="1"/>
    <col min="9828" max="9830" width="20" style="586" customWidth="1"/>
    <col min="9831" max="9831" width="20.85546875" style="586" customWidth="1"/>
    <col min="9832" max="9834" width="20" style="586" customWidth="1"/>
    <col min="9835" max="9835" width="20.85546875" style="586" customWidth="1"/>
    <col min="9836" max="9838" width="20" style="586" customWidth="1"/>
    <col min="9839" max="9839" width="20.85546875" style="586" customWidth="1"/>
    <col min="9840" max="9842" width="20" style="586" customWidth="1"/>
    <col min="9843" max="9843" width="20.85546875" style="586" customWidth="1"/>
    <col min="9844" max="9846" width="20" style="586" customWidth="1"/>
    <col min="9847" max="9847" width="20.85546875" style="586" customWidth="1"/>
    <col min="9848" max="9850" width="20" style="586" customWidth="1"/>
    <col min="9851" max="9851" width="20.85546875" style="586" customWidth="1"/>
    <col min="9852" max="9854" width="20" style="586" customWidth="1"/>
    <col min="9855" max="9855" width="20.85546875" style="586" customWidth="1"/>
    <col min="9856" max="9858" width="20" style="586" customWidth="1"/>
    <col min="9859" max="9859" width="20.28515625" style="586" customWidth="1"/>
    <col min="9860" max="9860" width="25.42578125" style="586" customWidth="1"/>
    <col min="9861" max="9861" width="18" style="586" customWidth="1"/>
    <col min="9862" max="9862" width="19.140625" style="586" customWidth="1"/>
    <col min="9863" max="9863" width="21.85546875" style="586" customWidth="1"/>
    <col min="9864" max="9865" width="25.28515625" style="586" customWidth="1"/>
    <col min="9866" max="9866" width="24.42578125" style="586" customWidth="1"/>
    <col min="9867" max="9867" width="36.42578125" style="586" customWidth="1"/>
    <col min="9868" max="9868" width="11.42578125" style="586"/>
    <col min="9869" max="9869" width="19.7109375" style="586" bestFit="1" customWidth="1"/>
    <col min="9870" max="9992" width="11.42578125" style="586"/>
    <col min="9993" max="9993" width="54.140625" style="586" customWidth="1"/>
    <col min="9994" max="9994" width="22.85546875" style="586" customWidth="1"/>
    <col min="9995" max="9998" width="20.28515625" style="586" customWidth="1"/>
    <col min="9999" max="10006" width="18.28515625" style="586" customWidth="1"/>
    <col min="10007" max="10010" width="20.5703125" style="586" customWidth="1"/>
    <col min="10011" max="10011" width="20.28515625" style="586" customWidth="1"/>
    <col min="10012" max="10012" width="25.42578125" style="586" customWidth="1"/>
    <col min="10013" max="10013" width="18" style="586" customWidth="1"/>
    <col min="10014" max="10015" width="19.140625" style="586" customWidth="1"/>
    <col min="10016" max="10016" width="18" style="586" customWidth="1"/>
    <col min="10017" max="10018" width="20.140625" style="586" customWidth="1"/>
    <col min="10019" max="10020" width="18.42578125" style="586" customWidth="1"/>
    <col min="10021" max="10021" width="17.28515625" style="586" customWidth="1"/>
    <col min="10022" max="10022" width="17.140625" style="586" customWidth="1"/>
    <col min="10023" max="10023" width="20.42578125" style="586" customWidth="1"/>
    <col min="10024" max="10026" width="17.140625" style="586" customWidth="1"/>
    <col min="10027" max="10027" width="19.7109375" style="586" customWidth="1"/>
    <col min="10028" max="10030" width="19" style="586" customWidth="1"/>
    <col min="10031" max="10031" width="21" style="586" customWidth="1"/>
    <col min="10032" max="10034" width="19.42578125" style="586" customWidth="1"/>
    <col min="10035" max="10035" width="21" style="586" customWidth="1"/>
    <col min="10036" max="10038" width="19.42578125" style="586" customWidth="1"/>
    <col min="10039" max="10039" width="21" style="586" customWidth="1"/>
    <col min="10040" max="10046" width="19.42578125" style="586" customWidth="1"/>
    <col min="10047" max="10047" width="21.42578125" style="586" customWidth="1"/>
    <col min="10048" max="10048" width="21" style="586" customWidth="1"/>
    <col min="10049" max="10049" width="22.140625" style="586" customWidth="1"/>
    <col min="10050" max="10050" width="21.7109375" style="586" customWidth="1"/>
    <col min="10051" max="10051" width="21.140625" style="586" customWidth="1"/>
    <col min="10052" max="10052" width="20.7109375" style="586" customWidth="1"/>
    <col min="10053" max="10054" width="19.42578125" style="586" customWidth="1"/>
    <col min="10055" max="10055" width="21.42578125" style="586" customWidth="1"/>
    <col min="10056" max="10070" width="19.42578125" style="586" customWidth="1"/>
    <col min="10071" max="10071" width="21.7109375" style="586" customWidth="1"/>
    <col min="10072" max="10082" width="19.42578125" style="586" customWidth="1"/>
    <col min="10083" max="10083" width="20.85546875" style="586" customWidth="1"/>
    <col min="10084" max="10086" width="20" style="586" customWidth="1"/>
    <col min="10087" max="10087" width="20.85546875" style="586" customWidth="1"/>
    <col min="10088" max="10090" width="20" style="586" customWidth="1"/>
    <col min="10091" max="10091" width="20.85546875" style="586" customWidth="1"/>
    <col min="10092" max="10094" width="20" style="586" customWidth="1"/>
    <col min="10095" max="10095" width="20.85546875" style="586" customWidth="1"/>
    <col min="10096" max="10098" width="20" style="586" customWidth="1"/>
    <col min="10099" max="10099" width="20.85546875" style="586" customWidth="1"/>
    <col min="10100" max="10102" width="20" style="586" customWidth="1"/>
    <col min="10103" max="10103" width="20.85546875" style="586" customWidth="1"/>
    <col min="10104" max="10106" width="20" style="586" customWidth="1"/>
    <col min="10107" max="10107" width="20.85546875" style="586" customWidth="1"/>
    <col min="10108" max="10110" width="20" style="586" customWidth="1"/>
    <col min="10111" max="10111" width="20.85546875" style="586" customWidth="1"/>
    <col min="10112" max="10114" width="20" style="586" customWidth="1"/>
    <col min="10115" max="10115" width="20.28515625" style="586" customWidth="1"/>
    <col min="10116" max="10116" width="25.42578125" style="586" customWidth="1"/>
    <col min="10117" max="10117" width="18" style="586" customWidth="1"/>
    <col min="10118" max="10118" width="19.140625" style="586" customWidth="1"/>
    <col min="10119" max="10119" width="21.85546875" style="586" customWidth="1"/>
    <col min="10120" max="10121" width="25.28515625" style="586" customWidth="1"/>
    <col min="10122" max="10122" width="24.42578125" style="586" customWidth="1"/>
    <col min="10123" max="10123" width="36.42578125" style="586" customWidth="1"/>
    <col min="10124" max="10124" width="11.42578125" style="586"/>
    <col min="10125" max="10125" width="19.7109375" style="586" bestFit="1" customWidth="1"/>
    <col min="10126" max="10248" width="11.42578125" style="586"/>
    <col min="10249" max="10249" width="54.140625" style="586" customWidth="1"/>
    <col min="10250" max="10250" width="22.85546875" style="586" customWidth="1"/>
    <col min="10251" max="10254" width="20.28515625" style="586" customWidth="1"/>
    <col min="10255" max="10262" width="18.28515625" style="586" customWidth="1"/>
    <col min="10263" max="10266" width="20.5703125" style="586" customWidth="1"/>
    <col min="10267" max="10267" width="20.28515625" style="586" customWidth="1"/>
    <col min="10268" max="10268" width="25.42578125" style="586" customWidth="1"/>
    <col min="10269" max="10269" width="18" style="586" customWidth="1"/>
    <col min="10270" max="10271" width="19.140625" style="586" customWidth="1"/>
    <col min="10272" max="10272" width="18" style="586" customWidth="1"/>
    <col min="10273" max="10274" width="20.140625" style="586" customWidth="1"/>
    <col min="10275" max="10276" width="18.42578125" style="586" customWidth="1"/>
    <col min="10277" max="10277" width="17.28515625" style="586" customWidth="1"/>
    <col min="10278" max="10278" width="17.140625" style="586" customWidth="1"/>
    <col min="10279" max="10279" width="20.42578125" style="586" customWidth="1"/>
    <col min="10280" max="10282" width="17.140625" style="586" customWidth="1"/>
    <col min="10283" max="10283" width="19.7109375" style="586" customWidth="1"/>
    <col min="10284" max="10286" width="19" style="586" customWidth="1"/>
    <col min="10287" max="10287" width="21" style="586" customWidth="1"/>
    <col min="10288" max="10290" width="19.42578125" style="586" customWidth="1"/>
    <col min="10291" max="10291" width="21" style="586" customWidth="1"/>
    <col min="10292" max="10294" width="19.42578125" style="586" customWidth="1"/>
    <col min="10295" max="10295" width="21" style="586" customWidth="1"/>
    <col min="10296" max="10302" width="19.42578125" style="586" customWidth="1"/>
    <col min="10303" max="10303" width="21.42578125" style="586" customWidth="1"/>
    <col min="10304" max="10304" width="21" style="586" customWidth="1"/>
    <col min="10305" max="10305" width="22.140625" style="586" customWidth="1"/>
    <col min="10306" max="10306" width="21.7109375" style="586" customWidth="1"/>
    <col min="10307" max="10307" width="21.140625" style="586" customWidth="1"/>
    <col min="10308" max="10308" width="20.7109375" style="586" customWidth="1"/>
    <col min="10309" max="10310" width="19.42578125" style="586" customWidth="1"/>
    <col min="10311" max="10311" width="21.42578125" style="586" customWidth="1"/>
    <col min="10312" max="10326" width="19.42578125" style="586" customWidth="1"/>
    <col min="10327" max="10327" width="21.7109375" style="586" customWidth="1"/>
    <col min="10328" max="10338" width="19.42578125" style="586" customWidth="1"/>
    <col min="10339" max="10339" width="20.85546875" style="586" customWidth="1"/>
    <col min="10340" max="10342" width="20" style="586" customWidth="1"/>
    <col min="10343" max="10343" width="20.85546875" style="586" customWidth="1"/>
    <col min="10344" max="10346" width="20" style="586" customWidth="1"/>
    <col min="10347" max="10347" width="20.85546875" style="586" customWidth="1"/>
    <col min="10348" max="10350" width="20" style="586" customWidth="1"/>
    <col min="10351" max="10351" width="20.85546875" style="586" customWidth="1"/>
    <col min="10352" max="10354" width="20" style="586" customWidth="1"/>
    <col min="10355" max="10355" width="20.85546875" style="586" customWidth="1"/>
    <col min="10356" max="10358" width="20" style="586" customWidth="1"/>
    <col min="10359" max="10359" width="20.85546875" style="586" customWidth="1"/>
    <col min="10360" max="10362" width="20" style="586" customWidth="1"/>
    <col min="10363" max="10363" width="20.85546875" style="586" customWidth="1"/>
    <col min="10364" max="10366" width="20" style="586" customWidth="1"/>
    <col min="10367" max="10367" width="20.85546875" style="586" customWidth="1"/>
    <col min="10368" max="10370" width="20" style="586" customWidth="1"/>
    <col min="10371" max="10371" width="20.28515625" style="586" customWidth="1"/>
    <col min="10372" max="10372" width="25.42578125" style="586" customWidth="1"/>
    <col min="10373" max="10373" width="18" style="586" customWidth="1"/>
    <col min="10374" max="10374" width="19.140625" style="586" customWidth="1"/>
    <col min="10375" max="10375" width="21.85546875" style="586" customWidth="1"/>
    <col min="10376" max="10377" width="25.28515625" style="586" customWidth="1"/>
    <col min="10378" max="10378" width="24.42578125" style="586" customWidth="1"/>
    <col min="10379" max="10379" width="36.42578125" style="586" customWidth="1"/>
    <col min="10380" max="10380" width="11.42578125" style="586"/>
    <col min="10381" max="10381" width="19.7109375" style="586" bestFit="1" customWidth="1"/>
    <col min="10382" max="10504" width="11.42578125" style="586"/>
    <col min="10505" max="10505" width="54.140625" style="586" customWidth="1"/>
    <col min="10506" max="10506" width="22.85546875" style="586" customWidth="1"/>
    <col min="10507" max="10510" width="20.28515625" style="586" customWidth="1"/>
    <col min="10511" max="10518" width="18.28515625" style="586" customWidth="1"/>
    <col min="10519" max="10522" width="20.5703125" style="586" customWidth="1"/>
    <col min="10523" max="10523" width="20.28515625" style="586" customWidth="1"/>
    <col min="10524" max="10524" width="25.42578125" style="586" customWidth="1"/>
    <col min="10525" max="10525" width="18" style="586" customWidth="1"/>
    <col min="10526" max="10527" width="19.140625" style="586" customWidth="1"/>
    <col min="10528" max="10528" width="18" style="586" customWidth="1"/>
    <col min="10529" max="10530" width="20.140625" style="586" customWidth="1"/>
    <col min="10531" max="10532" width="18.42578125" style="586" customWidth="1"/>
    <col min="10533" max="10533" width="17.28515625" style="586" customWidth="1"/>
    <col min="10534" max="10534" width="17.140625" style="586" customWidth="1"/>
    <col min="10535" max="10535" width="20.42578125" style="586" customWidth="1"/>
    <col min="10536" max="10538" width="17.140625" style="586" customWidth="1"/>
    <col min="10539" max="10539" width="19.7109375" style="586" customWidth="1"/>
    <col min="10540" max="10542" width="19" style="586" customWidth="1"/>
    <col min="10543" max="10543" width="21" style="586" customWidth="1"/>
    <col min="10544" max="10546" width="19.42578125" style="586" customWidth="1"/>
    <col min="10547" max="10547" width="21" style="586" customWidth="1"/>
    <col min="10548" max="10550" width="19.42578125" style="586" customWidth="1"/>
    <col min="10551" max="10551" width="21" style="586" customWidth="1"/>
    <col min="10552" max="10558" width="19.42578125" style="586" customWidth="1"/>
    <col min="10559" max="10559" width="21.42578125" style="586" customWidth="1"/>
    <col min="10560" max="10560" width="21" style="586" customWidth="1"/>
    <col min="10561" max="10561" width="22.140625" style="586" customWidth="1"/>
    <col min="10562" max="10562" width="21.7109375" style="586" customWidth="1"/>
    <col min="10563" max="10563" width="21.140625" style="586" customWidth="1"/>
    <col min="10564" max="10564" width="20.7109375" style="586" customWidth="1"/>
    <col min="10565" max="10566" width="19.42578125" style="586" customWidth="1"/>
    <col min="10567" max="10567" width="21.42578125" style="586" customWidth="1"/>
    <col min="10568" max="10582" width="19.42578125" style="586" customWidth="1"/>
    <col min="10583" max="10583" width="21.7109375" style="586" customWidth="1"/>
    <col min="10584" max="10594" width="19.42578125" style="586" customWidth="1"/>
    <col min="10595" max="10595" width="20.85546875" style="586" customWidth="1"/>
    <col min="10596" max="10598" width="20" style="586" customWidth="1"/>
    <col min="10599" max="10599" width="20.85546875" style="586" customWidth="1"/>
    <col min="10600" max="10602" width="20" style="586" customWidth="1"/>
    <col min="10603" max="10603" width="20.85546875" style="586" customWidth="1"/>
    <col min="10604" max="10606" width="20" style="586" customWidth="1"/>
    <col min="10607" max="10607" width="20.85546875" style="586" customWidth="1"/>
    <col min="10608" max="10610" width="20" style="586" customWidth="1"/>
    <col min="10611" max="10611" width="20.85546875" style="586" customWidth="1"/>
    <col min="10612" max="10614" width="20" style="586" customWidth="1"/>
    <col min="10615" max="10615" width="20.85546875" style="586" customWidth="1"/>
    <col min="10616" max="10618" width="20" style="586" customWidth="1"/>
    <col min="10619" max="10619" width="20.85546875" style="586" customWidth="1"/>
    <col min="10620" max="10622" width="20" style="586" customWidth="1"/>
    <col min="10623" max="10623" width="20.85546875" style="586" customWidth="1"/>
    <col min="10624" max="10626" width="20" style="586" customWidth="1"/>
    <col min="10627" max="10627" width="20.28515625" style="586" customWidth="1"/>
    <col min="10628" max="10628" width="25.42578125" style="586" customWidth="1"/>
    <col min="10629" max="10629" width="18" style="586" customWidth="1"/>
    <col min="10630" max="10630" width="19.140625" style="586" customWidth="1"/>
    <col min="10631" max="10631" width="21.85546875" style="586" customWidth="1"/>
    <col min="10632" max="10633" width="25.28515625" style="586" customWidth="1"/>
    <col min="10634" max="10634" width="24.42578125" style="586" customWidth="1"/>
    <col min="10635" max="10635" width="36.42578125" style="586" customWidth="1"/>
    <col min="10636" max="10636" width="11.42578125" style="586"/>
    <col min="10637" max="10637" width="19.7109375" style="586" bestFit="1" customWidth="1"/>
    <col min="10638" max="10760" width="11.42578125" style="586"/>
    <col min="10761" max="10761" width="54.140625" style="586" customWidth="1"/>
    <col min="10762" max="10762" width="22.85546875" style="586" customWidth="1"/>
    <col min="10763" max="10766" width="20.28515625" style="586" customWidth="1"/>
    <col min="10767" max="10774" width="18.28515625" style="586" customWidth="1"/>
    <col min="10775" max="10778" width="20.5703125" style="586" customWidth="1"/>
    <col min="10779" max="10779" width="20.28515625" style="586" customWidth="1"/>
    <col min="10780" max="10780" width="25.42578125" style="586" customWidth="1"/>
    <col min="10781" max="10781" width="18" style="586" customWidth="1"/>
    <col min="10782" max="10783" width="19.140625" style="586" customWidth="1"/>
    <col min="10784" max="10784" width="18" style="586" customWidth="1"/>
    <col min="10785" max="10786" width="20.140625" style="586" customWidth="1"/>
    <col min="10787" max="10788" width="18.42578125" style="586" customWidth="1"/>
    <col min="10789" max="10789" width="17.28515625" style="586" customWidth="1"/>
    <col min="10790" max="10790" width="17.140625" style="586" customWidth="1"/>
    <col min="10791" max="10791" width="20.42578125" style="586" customWidth="1"/>
    <col min="10792" max="10794" width="17.140625" style="586" customWidth="1"/>
    <col min="10795" max="10795" width="19.7109375" style="586" customWidth="1"/>
    <col min="10796" max="10798" width="19" style="586" customWidth="1"/>
    <col min="10799" max="10799" width="21" style="586" customWidth="1"/>
    <col min="10800" max="10802" width="19.42578125" style="586" customWidth="1"/>
    <col min="10803" max="10803" width="21" style="586" customWidth="1"/>
    <col min="10804" max="10806" width="19.42578125" style="586" customWidth="1"/>
    <col min="10807" max="10807" width="21" style="586" customWidth="1"/>
    <col min="10808" max="10814" width="19.42578125" style="586" customWidth="1"/>
    <col min="10815" max="10815" width="21.42578125" style="586" customWidth="1"/>
    <col min="10816" max="10816" width="21" style="586" customWidth="1"/>
    <col min="10817" max="10817" width="22.140625" style="586" customWidth="1"/>
    <col min="10818" max="10818" width="21.7109375" style="586" customWidth="1"/>
    <col min="10819" max="10819" width="21.140625" style="586" customWidth="1"/>
    <col min="10820" max="10820" width="20.7109375" style="586" customWidth="1"/>
    <col min="10821" max="10822" width="19.42578125" style="586" customWidth="1"/>
    <col min="10823" max="10823" width="21.42578125" style="586" customWidth="1"/>
    <col min="10824" max="10838" width="19.42578125" style="586" customWidth="1"/>
    <col min="10839" max="10839" width="21.7109375" style="586" customWidth="1"/>
    <col min="10840" max="10850" width="19.42578125" style="586" customWidth="1"/>
    <col min="10851" max="10851" width="20.85546875" style="586" customWidth="1"/>
    <col min="10852" max="10854" width="20" style="586" customWidth="1"/>
    <col min="10855" max="10855" width="20.85546875" style="586" customWidth="1"/>
    <col min="10856" max="10858" width="20" style="586" customWidth="1"/>
    <col min="10859" max="10859" width="20.85546875" style="586" customWidth="1"/>
    <col min="10860" max="10862" width="20" style="586" customWidth="1"/>
    <col min="10863" max="10863" width="20.85546875" style="586" customWidth="1"/>
    <col min="10864" max="10866" width="20" style="586" customWidth="1"/>
    <col min="10867" max="10867" width="20.85546875" style="586" customWidth="1"/>
    <col min="10868" max="10870" width="20" style="586" customWidth="1"/>
    <col min="10871" max="10871" width="20.85546875" style="586" customWidth="1"/>
    <col min="10872" max="10874" width="20" style="586" customWidth="1"/>
    <col min="10875" max="10875" width="20.85546875" style="586" customWidth="1"/>
    <col min="10876" max="10878" width="20" style="586" customWidth="1"/>
    <col min="10879" max="10879" width="20.85546875" style="586" customWidth="1"/>
    <col min="10880" max="10882" width="20" style="586" customWidth="1"/>
    <col min="10883" max="10883" width="20.28515625" style="586" customWidth="1"/>
    <col min="10884" max="10884" width="25.42578125" style="586" customWidth="1"/>
    <col min="10885" max="10885" width="18" style="586" customWidth="1"/>
    <col min="10886" max="10886" width="19.140625" style="586" customWidth="1"/>
    <col min="10887" max="10887" width="21.85546875" style="586" customWidth="1"/>
    <col min="10888" max="10889" width="25.28515625" style="586" customWidth="1"/>
    <col min="10890" max="10890" width="24.42578125" style="586" customWidth="1"/>
    <col min="10891" max="10891" width="36.42578125" style="586" customWidth="1"/>
    <col min="10892" max="10892" width="11.42578125" style="586"/>
    <col min="10893" max="10893" width="19.7109375" style="586" bestFit="1" customWidth="1"/>
    <col min="10894" max="11016" width="11.42578125" style="586"/>
    <col min="11017" max="11017" width="54.140625" style="586" customWidth="1"/>
    <col min="11018" max="11018" width="22.85546875" style="586" customWidth="1"/>
    <col min="11019" max="11022" width="20.28515625" style="586" customWidth="1"/>
    <col min="11023" max="11030" width="18.28515625" style="586" customWidth="1"/>
    <col min="11031" max="11034" width="20.5703125" style="586" customWidth="1"/>
    <col min="11035" max="11035" width="20.28515625" style="586" customWidth="1"/>
    <col min="11036" max="11036" width="25.42578125" style="586" customWidth="1"/>
    <col min="11037" max="11037" width="18" style="586" customWidth="1"/>
    <col min="11038" max="11039" width="19.140625" style="586" customWidth="1"/>
    <col min="11040" max="11040" width="18" style="586" customWidth="1"/>
    <col min="11041" max="11042" width="20.140625" style="586" customWidth="1"/>
    <col min="11043" max="11044" width="18.42578125" style="586" customWidth="1"/>
    <col min="11045" max="11045" width="17.28515625" style="586" customWidth="1"/>
    <col min="11046" max="11046" width="17.140625" style="586" customWidth="1"/>
    <col min="11047" max="11047" width="20.42578125" style="586" customWidth="1"/>
    <col min="11048" max="11050" width="17.140625" style="586" customWidth="1"/>
    <col min="11051" max="11051" width="19.7109375" style="586" customWidth="1"/>
    <col min="11052" max="11054" width="19" style="586" customWidth="1"/>
    <col min="11055" max="11055" width="21" style="586" customWidth="1"/>
    <col min="11056" max="11058" width="19.42578125" style="586" customWidth="1"/>
    <col min="11059" max="11059" width="21" style="586" customWidth="1"/>
    <col min="11060" max="11062" width="19.42578125" style="586" customWidth="1"/>
    <col min="11063" max="11063" width="21" style="586" customWidth="1"/>
    <col min="11064" max="11070" width="19.42578125" style="586" customWidth="1"/>
    <col min="11071" max="11071" width="21.42578125" style="586" customWidth="1"/>
    <col min="11072" max="11072" width="21" style="586" customWidth="1"/>
    <col min="11073" max="11073" width="22.140625" style="586" customWidth="1"/>
    <col min="11074" max="11074" width="21.7109375" style="586" customWidth="1"/>
    <col min="11075" max="11075" width="21.140625" style="586" customWidth="1"/>
    <col min="11076" max="11076" width="20.7109375" style="586" customWidth="1"/>
    <col min="11077" max="11078" width="19.42578125" style="586" customWidth="1"/>
    <col min="11079" max="11079" width="21.42578125" style="586" customWidth="1"/>
    <col min="11080" max="11094" width="19.42578125" style="586" customWidth="1"/>
    <col min="11095" max="11095" width="21.7109375" style="586" customWidth="1"/>
    <col min="11096" max="11106" width="19.42578125" style="586" customWidth="1"/>
    <col min="11107" max="11107" width="20.85546875" style="586" customWidth="1"/>
    <col min="11108" max="11110" width="20" style="586" customWidth="1"/>
    <col min="11111" max="11111" width="20.85546875" style="586" customWidth="1"/>
    <col min="11112" max="11114" width="20" style="586" customWidth="1"/>
    <col min="11115" max="11115" width="20.85546875" style="586" customWidth="1"/>
    <col min="11116" max="11118" width="20" style="586" customWidth="1"/>
    <col min="11119" max="11119" width="20.85546875" style="586" customWidth="1"/>
    <col min="11120" max="11122" width="20" style="586" customWidth="1"/>
    <col min="11123" max="11123" width="20.85546875" style="586" customWidth="1"/>
    <col min="11124" max="11126" width="20" style="586" customWidth="1"/>
    <col min="11127" max="11127" width="20.85546875" style="586" customWidth="1"/>
    <col min="11128" max="11130" width="20" style="586" customWidth="1"/>
    <col min="11131" max="11131" width="20.85546875" style="586" customWidth="1"/>
    <col min="11132" max="11134" width="20" style="586" customWidth="1"/>
    <col min="11135" max="11135" width="20.85546875" style="586" customWidth="1"/>
    <col min="11136" max="11138" width="20" style="586" customWidth="1"/>
    <col min="11139" max="11139" width="20.28515625" style="586" customWidth="1"/>
    <col min="11140" max="11140" width="25.42578125" style="586" customWidth="1"/>
    <col min="11141" max="11141" width="18" style="586" customWidth="1"/>
    <col min="11142" max="11142" width="19.140625" style="586" customWidth="1"/>
    <col min="11143" max="11143" width="21.85546875" style="586" customWidth="1"/>
    <col min="11144" max="11145" width="25.28515625" style="586" customWidth="1"/>
    <col min="11146" max="11146" width="24.42578125" style="586" customWidth="1"/>
    <col min="11147" max="11147" width="36.42578125" style="586" customWidth="1"/>
    <col min="11148" max="11148" width="11.42578125" style="586"/>
    <col min="11149" max="11149" width="19.7109375" style="586" bestFit="1" customWidth="1"/>
    <col min="11150" max="11272" width="11.42578125" style="586"/>
    <col min="11273" max="11273" width="54.140625" style="586" customWidth="1"/>
    <col min="11274" max="11274" width="22.85546875" style="586" customWidth="1"/>
    <col min="11275" max="11278" width="20.28515625" style="586" customWidth="1"/>
    <col min="11279" max="11286" width="18.28515625" style="586" customWidth="1"/>
    <col min="11287" max="11290" width="20.5703125" style="586" customWidth="1"/>
    <col min="11291" max="11291" width="20.28515625" style="586" customWidth="1"/>
    <col min="11292" max="11292" width="25.42578125" style="586" customWidth="1"/>
    <col min="11293" max="11293" width="18" style="586" customWidth="1"/>
    <col min="11294" max="11295" width="19.140625" style="586" customWidth="1"/>
    <col min="11296" max="11296" width="18" style="586" customWidth="1"/>
    <col min="11297" max="11298" width="20.140625" style="586" customWidth="1"/>
    <col min="11299" max="11300" width="18.42578125" style="586" customWidth="1"/>
    <col min="11301" max="11301" width="17.28515625" style="586" customWidth="1"/>
    <col min="11302" max="11302" width="17.140625" style="586" customWidth="1"/>
    <col min="11303" max="11303" width="20.42578125" style="586" customWidth="1"/>
    <col min="11304" max="11306" width="17.140625" style="586" customWidth="1"/>
    <col min="11307" max="11307" width="19.7109375" style="586" customWidth="1"/>
    <col min="11308" max="11310" width="19" style="586" customWidth="1"/>
    <col min="11311" max="11311" width="21" style="586" customWidth="1"/>
    <col min="11312" max="11314" width="19.42578125" style="586" customWidth="1"/>
    <col min="11315" max="11315" width="21" style="586" customWidth="1"/>
    <col min="11316" max="11318" width="19.42578125" style="586" customWidth="1"/>
    <col min="11319" max="11319" width="21" style="586" customWidth="1"/>
    <col min="11320" max="11326" width="19.42578125" style="586" customWidth="1"/>
    <col min="11327" max="11327" width="21.42578125" style="586" customWidth="1"/>
    <col min="11328" max="11328" width="21" style="586" customWidth="1"/>
    <col min="11329" max="11329" width="22.140625" style="586" customWidth="1"/>
    <col min="11330" max="11330" width="21.7109375" style="586" customWidth="1"/>
    <col min="11331" max="11331" width="21.140625" style="586" customWidth="1"/>
    <col min="11332" max="11332" width="20.7109375" style="586" customWidth="1"/>
    <col min="11333" max="11334" width="19.42578125" style="586" customWidth="1"/>
    <col min="11335" max="11335" width="21.42578125" style="586" customWidth="1"/>
    <col min="11336" max="11350" width="19.42578125" style="586" customWidth="1"/>
    <col min="11351" max="11351" width="21.7109375" style="586" customWidth="1"/>
    <col min="11352" max="11362" width="19.42578125" style="586" customWidth="1"/>
    <col min="11363" max="11363" width="20.85546875" style="586" customWidth="1"/>
    <col min="11364" max="11366" width="20" style="586" customWidth="1"/>
    <col min="11367" max="11367" width="20.85546875" style="586" customWidth="1"/>
    <col min="11368" max="11370" width="20" style="586" customWidth="1"/>
    <col min="11371" max="11371" width="20.85546875" style="586" customWidth="1"/>
    <col min="11372" max="11374" width="20" style="586" customWidth="1"/>
    <col min="11375" max="11375" width="20.85546875" style="586" customWidth="1"/>
    <col min="11376" max="11378" width="20" style="586" customWidth="1"/>
    <col min="11379" max="11379" width="20.85546875" style="586" customWidth="1"/>
    <col min="11380" max="11382" width="20" style="586" customWidth="1"/>
    <col min="11383" max="11383" width="20.85546875" style="586" customWidth="1"/>
    <col min="11384" max="11386" width="20" style="586" customWidth="1"/>
    <col min="11387" max="11387" width="20.85546875" style="586" customWidth="1"/>
    <col min="11388" max="11390" width="20" style="586" customWidth="1"/>
    <col min="11391" max="11391" width="20.85546875" style="586" customWidth="1"/>
    <col min="11392" max="11394" width="20" style="586" customWidth="1"/>
    <col min="11395" max="11395" width="20.28515625" style="586" customWidth="1"/>
    <col min="11396" max="11396" width="25.42578125" style="586" customWidth="1"/>
    <col min="11397" max="11397" width="18" style="586" customWidth="1"/>
    <col min="11398" max="11398" width="19.140625" style="586" customWidth="1"/>
    <col min="11399" max="11399" width="21.85546875" style="586" customWidth="1"/>
    <col min="11400" max="11401" width="25.28515625" style="586" customWidth="1"/>
    <col min="11402" max="11402" width="24.42578125" style="586" customWidth="1"/>
    <col min="11403" max="11403" width="36.42578125" style="586" customWidth="1"/>
    <col min="11404" max="11404" width="11.42578125" style="586"/>
    <col min="11405" max="11405" width="19.7109375" style="586" bestFit="1" customWidth="1"/>
    <col min="11406" max="11528" width="11.42578125" style="586"/>
    <col min="11529" max="11529" width="54.140625" style="586" customWidth="1"/>
    <col min="11530" max="11530" width="22.85546875" style="586" customWidth="1"/>
    <col min="11531" max="11534" width="20.28515625" style="586" customWidth="1"/>
    <col min="11535" max="11542" width="18.28515625" style="586" customWidth="1"/>
    <col min="11543" max="11546" width="20.5703125" style="586" customWidth="1"/>
    <col min="11547" max="11547" width="20.28515625" style="586" customWidth="1"/>
    <col min="11548" max="11548" width="25.42578125" style="586" customWidth="1"/>
    <col min="11549" max="11549" width="18" style="586" customWidth="1"/>
    <col min="11550" max="11551" width="19.140625" style="586" customWidth="1"/>
    <col min="11552" max="11552" width="18" style="586" customWidth="1"/>
    <col min="11553" max="11554" width="20.140625" style="586" customWidth="1"/>
    <col min="11555" max="11556" width="18.42578125" style="586" customWidth="1"/>
    <col min="11557" max="11557" width="17.28515625" style="586" customWidth="1"/>
    <col min="11558" max="11558" width="17.140625" style="586" customWidth="1"/>
    <col min="11559" max="11559" width="20.42578125" style="586" customWidth="1"/>
    <col min="11560" max="11562" width="17.140625" style="586" customWidth="1"/>
    <col min="11563" max="11563" width="19.7109375" style="586" customWidth="1"/>
    <col min="11564" max="11566" width="19" style="586" customWidth="1"/>
    <col min="11567" max="11567" width="21" style="586" customWidth="1"/>
    <col min="11568" max="11570" width="19.42578125" style="586" customWidth="1"/>
    <col min="11571" max="11571" width="21" style="586" customWidth="1"/>
    <col min="11572" max="11574" width="19.42578125" style="586" customWidth="1"/>
    <col min="11575" max="11575" width="21" style="586" customWidth="1"/>
    <col min="11576" max="11582" width="19.42578125" style="586" customWidth="1"/>
    <col min="11583" max="11583" width="21.42578125" style="586" customWidth="1"/>
    <col min="11584" max="11584" width="21" style="586" customWidth="1"/>
    <col min="11585" max="11585" width="22.140625" style="586" customWidth="1"/>
    <col min="11586" max="11586" width="21.7109375" style="586" customWidth="1"/>
    <col min="11587" max="11587" width="21.140625" style="586" customWidth="1"/>
    <col min="11588" max="11588" width="20.7109375" style="586" customWidth="1"/>
    <col min="11589" max="11590" width="19.42578125" style="586" customWidth="1"/>
    <col min="11591" max="11591" width="21.42578125" style="586" customWidth="1"/>
    <col min="11592" max="11606" width="19.42578125" style="586" customWidth="1"/>
    <col min="11607" max="11607" width="21.7109375" style="586" customWidth="1"/>
    <col min="11608" max="11618" width="19.42578125" style="586" customWidth="1"/>
    <col min="11619" max="11619" width="20.85546875" style="586" customWidth="1"/>
    <col min="11620" max="11622" width="20" style="586" customWidth="1"/>
    <col min="11623" max="11623" width="20.85546875" style="586" customWidth="1"/>
    <col min="11624" max="11626" width="20" style="586" customWidth="1"/>
    <col min="11627" max="11627" width="20.85546875" style="586" customWidth="1"/>
    <col min="11628" max="11630" width="20" style="586" customWidth="1"/>
    <col min="11631" max="11631" width="20.85546875" style="586" customWidth="1"/>
    <col min="11632" max="11634" width="20" style="586" customWidth="1"/>
    <col min="11635" max="11635" width="20.85546875" style="586" customWidth="1"/>
    <col min="11636" max="11638" width="20" style="586" customWidth="1"/>
    <col min="11639" max="11639" width="20.85546875" style="586" customWidth="1"/>
    <col min="11640" max="11642" width="20" style="586" customWidth="1"/>
    <col min="11643" max="11643" width="20.85546875" style="586" customWidth="1"/>
    <col min="11644" max="11646" width="20" style="586" customWidth="1"/>
    <col min="11647" max="11647" width="20.85546875" style="586" customWidth="1"/>
    <col min="11648" max="11650" width="20" style="586" customWidth="1"/>
    <col min="11651" max="11651" width="20.28515625" style="586" customWidth="1"/>
    <col min="11652" max="11652" width="25.42578125" style="586" customWidth="1"/>
    <col min="11653" max="11653" width="18" style="586" customWidth="1"/>
    <col min="11654" max="11654" width="19.140625" style="586" customWidth="1"/>
    <col min="11655" max="11655" width="21.85546875" style="586" customWidth="1"/>
    <col min="11656" max="11657" width="25.28515625" style="586" customWidth="1"/>
    <col min="11658" max="11658" width="24.42578125" style="586" customWidth="1"/>
    <col min="11659" max="11659" width="36.42578125" style="586" customWidth="1"/>
    <col min="11660" max="11660" width="11.42578125" style="586"/>
    <col min="11661" max="11661" width="19.7109375" style="586" bestFit="1" customWidth="1"/>
    <col min="11662" max="11784" width="11.42578125" style="586"/>
    <col min="11785" max="11785" width="54.140625" style="586" customWidth="1"/>
    <col min="11786" max="11786" width="22.85546875" style="586" customWidth="1"/>
    <col min="11787" max="11790" width="20.28515625" style="586" customWidth="1"/>
    <col min="11791" max="11798" width="18.28515625" style="586" customWidth="1"/>
    <col min="11799" max="11802" width="20.5703125" style="586" customWidth="1"/>
    <col min="11803" max="11803" width="20.28515625" style="586" customWidth="1"/>
    <col min="11804" max="11804" width="25.42578125" style="586" customWidth="1"/>
    <col min="11805" max="11805" width="18" style="586" customWidth="1"/>
    <col min="11806" max="11807" width="19.140625" style="586" customWidth="1"/>
    <col min="11808" max="11808" width="18" style="586" customWidth="1"/>
    <col min="11809" max="11810" width="20.140625" style="586" customWidth="1"/>
    <col min="11811" max="11812" width="18.42578125" style="586" customWidth="1"/>
    <col min="11813" max="11813" width="17.28515625" style="586" customWidth="1"/>
    <col min="11814" max="11814" width="17.140625" style="586" customWidth="1"/>
    <col min="11815" max="11815" width="20.42578125" style="586" customWidth="1"/>
    <col min="11816" max="11818" width="17.140625" style="586" customWidth="1"/>
    <col min="11819" max="11819" width="19.7109375" style="586" customWidth="1"/>
    <col min="11820" max="11822" width="19" style="586" customWidth="1"/>
    <col min="11823" max="11823" width="21" style="586" customWidth="1"/>
    <col min="11824" max="11826" width="19.42578125" style="586" customWidth="1"/>
    <col min="11827" max="11827" width="21" style="586" customWidth="1"/>
    <col min="11828" max="11830" width="19.42578125" style="586" customWidth="1"/>
    <col min="11831" max="11831" width="21" style="586" customWidth="1"/>
    <col min="11832" max="11838" width="19.42578125" style="586" customWidth="1"/>
    <col min="11839" max="11839" width="21.42578125" style="586" customWidth="1"/>
    <col min="11840" max="11840" width="21" style="586" customWidth="1"/>
    <col min="11841" max="11841" width="22.140625" style="586" customWidth="1"/>
    <col min="11842" max="11842" width="21.7109375" style="586" customWidth="1"/>
    <col min="11843" max="11843" width="21.140625" style="586" customWidth="1"/>
    <col min="11844" max="11844" width="20.7109375" style="586" customWidth="1"/>
    <col min="11845" max="11846" width="19.42578125" style="586" customWidth="1"/>
    <col min="11847" max="11847" width="21.42578125" style="586" customWidth="1"/>
    <col min="11848" max="11862" width="19.42578125" style="586" customWidth="1"/>
    <col min="11863" max="11863" width="21.7109375" style="586" customWidth="1"/>
    <col min="11864" max="11874" width="19.42578125" style="586" customWidth="1"/>
    <col min="11875" max="11875" width="20.85546875" style="586" customWidth="1"/>
    <col min="11876" max="11878" width="20" style="586" customWidth="1"/>
    <col min="11879" max="11879" width="20.85546875" style="586" customWidth="1"/>
    <col min="11880" max="11882" width="20" style="586" customWidth="1"/>
    <col min="11883" max="11883" width="20.85546875" style="586" customWidth="1"/>
    <col min="11884" max="11886" width="20" style="586" customWidth="1"/>
    <col min="11887" max="11887" width="20.85546875" style="586" customWidth="1"/>
    <col min="11888" max="11890" width="20" style="586" customWidth="1"/>
    <col min="11891" max="11891" width="20.85546875" style="586" customWidth="1"/>
    <col min="11892" max="11894" width="20" style="586" customWidth="1"/>
    <col min="11895" max="11895" width="20.85546875" style="586" customWidth="1"/>
    <col min="11896" max="11898" width="20" style="586" customWidth="1"/>
    <col min="11899" max="11899" width="20.85546875" style="586" customWidth="1"/>
    <col min="11900" max="11902" width="20" style="586" customWidth="1"/>
    <col min="11903" max="11903" width="20.85546875" style="586" customWidth="1"/>
    <col min="11904" max="11906" width="20" style="586" customWidth="1"/>
    <col min="11907" max="11907" width="20.28515625" style="586" customWidth="1"/>
    <col min="11908" max="11908" width="25.42578125" style="586" customWidth="1"/>
    <col min="11909" max="11909" width="18" style="586" customWidth="1"/>
    <col min="11910" max="11910" width="19.140625" style="586" customWidth="1"/>
    <col min="11911" max="11911" width="21.85546875" style="586" customWidth="1"/>
    <col min="11912" max="11913" width="25.28515625" style="586" customWidth="1"/>
    <col min="11914" max="11914" width="24.42578125" style="586" customWidth="1"/>
    <col min="11915" max="11915" width="36.42578125" style="586" customWidth="1"/>
    <col min="11916" max="11916" width="11.42578125" style="586"/>
    <col min="11917" max="11917" width="19.7109375" style="586" bestFit="1" customWidth="1"/>
    <col min="11918" max="12040" width="11.42578125" style="586"/>
    <col min="12041" max="12041" width="54.140625" style="586" customWidth="1"/>
    <col min="12042" max="12042" width="22.85546875" style="586" customWidth="1"/>
    <col min="12043" max="12046" width="20.28515625" style="586" customWidth="1"/>
    <col min="12047" max="12054" width="18.28515625" style="586" customWidth="1"/>
    <col min="12055" max="12058" width="20.5703125" style="586" customWidth="1"/>
    <col min="12059" max="12059" width="20.28515625" style="586" customWidth="1"/>
    <col min="12060" max="12060" width="25.42578125" style="586" customWidth="1"/>
    <col min="12061" max="12061" width="18" style="586" customWidth="1"/>
    <col min="12062" max="12063" width="19.140625" style="586" customWidth="1"/>
    <col min="12064" max="12064" width="18" style="586" customWidth="1"/>
    <col min="12065" max="12066" width="20.140625" style="586" customWidth="1"/>
    <col min="12067" max="12068" width="18.42578125" style="586" customWidth="1"/>
    <col min="12069" max="12069" width="17.28515625" style="586" customWidth="1"/>
    <col min="12070" max="12070" width="17.140625" style="586" customWidth="1"/>
    <col min="12071" max="12071" width="20.42578125" style="586" customWidth="1"/>
    <col min="12072" max="12074" width="17.140625" style="586" customWidth="1"/>
    <col min="12075" max="12075" width="19.7109375" style="586" customWidth="1"/>
    <col min="12076" max="12078" width="19" style="586" customWidth="1"/>
    <col min="12079" max="12079" width="21" style="586" customWidth="1"/>
    <col min="12080" max="12082" width="19.42578125" style="586" customWidth="1"/>
    <col min="12083" max="12083" width="21" style="586" customWidth="1"/>
    <col min="12084" max="12086" width="19.42578125" style="586" customWidth="1"/>
    <col min="12087" max="12087" width="21" style="586" customWidth="1"/>
    <col min="12088" max="12094" width="19.42578125" style="586" customWidth="1"/>
    <col min="12095" max="12095" width="21.42578125" style="586" customWidth="1"/>
    <col min="12096" max="12096" width="21" style="586" customWidth="1"/>
    <col min="12097" max="12097" width="22.140625" style="586" customWidth="1"/>
    <col min="12098" max="12098" width="21.7109375" style="586" customWidth="1"/>
    <col min="12099" max="12099" width="21.140625" style="586" customWidth="1"/>
    <col min="12100" max="12100" width="20.7109375" style="586" customWidth="1"/>
    <col min="12101" max="12102" width="19.42578125" style="586" customWidth="1"/>
    <col min="12103" max="12103" width="21.42578125" style="586" customWidth="1"/>
    <col min="12104" max="12118" width="19.42578125" style="586" customWidth="1"/>
    <col min="12119" max="12119" width="21.7109375" style="586" customWidth="1"/>
    <col min="12120" max="12130" width="19.42578125" style="586" customWidth="1"/>
    <col min="12131" max="12131" width="20.85546875" style="586" customWidth="1"/>
    <col min="12132" max="12134" width="20" style="586" customWidth="1"/>
    <col min="12135" max="12135" width="20.85546875" style="586" customWidth="1"/>
    <col min="12136" max="12138" width="20" style="586" customWidth="1"/>
    <col min="12139" max="12139" width="20.85546875" style="586" customWidth="1"/>
    <col min="12140" max="12142" width="20" style="586" customWidth="1"/>
    <col min="12143" max="12143" width="20.85546875" style="586" customWidth="1"/>
    <col min="12144" max="12146" width="20" style="586" customWidth="1"/>
    <col min="12147" max="12147" width="20.85546875" style="586" customWidth="1"/>
    <col min="12148" max="12150" width="20" style="586" customWidth="1"/>
    <col min="12151" max="12151" width="20.85546875" style="586" customWidth="1"/>
    <col min="12152" max="12154" width="20" style="586" customWidth="1"/>
    <col min="12155" max="12155" width="20.85546875" style="586" customWidth="1"/>
    <col min="12156" max="12158" width="20" style="586" customWidth="1"/>
    <col min="12159" max="12159" width="20.85546875" style="586" customWidth="1"/>
    <col min="12160" max="12162" width="20" style="586" customWidth="1"/>
    <col min="12163" max="12163" width="20.28515625" style="586" customWidth="1"/>
    <col min="12164" max="12164" width="25.42578125" style="586" customWidth="1"/>
    <col min="12165" max="12165" width="18" style="586" customWidth="1"/>
    <col min="12166" max="12166" width="19.140625" style="586" customWidth="1"/>
    <col min="12167" max="12167" width="21.85546875" style="586" customWidth="1"/>
    <col min="12168" max="12169" width="25.28515625" style="586" customWidth="1"/>
    <col min="12170" max="12170" width="24.42578125" style="586" customWidth="1"/>
    <col min="12171" max="12171" width="36.42578125" style="586" customWidth="1"/>
    <col min="12172" max="12172" width="11.42578125" style="586"/>
    <col min="12173" max="12173" width="19.7109375" style="586" bestFit="1" customWidth="1"/>
    <col min="12174" max="12296" width="11.42578125" style="586"/>
    <col min="12297" max="12297" width="54.140625" style="586" customWidth="1"/>
    <col min="12298" max="12298" width="22.85546875" style="586" customWidth="1"/>
    <col min="12299" max="12302" width="20.28515625" style="586" customWidth="1"/>
    <col min="12303" max="12310" width="18.28515625" style="586" customWidth="1"/>
    <col min="12311" max="12314" width="20.5703125" style="586" customWidth="1"/>
    <col min="12315" max="12315" width="20.28515625" style="586" customWidth="1"/>
    <col min="12316" max="12316" width="25.42578125" style="586" customWidth="1"/>
    <col min="12317" max="12317" width="18" style="586" customWidth="1"/>
    <col min="12318" max="12319" width="19.140625" style="586" customWidth="1"/>
    <col min="12320" max="12320" width="18" style="586" customWidth="1"/>
    <col min="12321" max="12322" width="20.140625" style="586" customWidth="1"/>
    <col min="12323" max="12324" width="18.42578125" style="586" customWidth="1"/>
    <col min="12325" max="12325" width="17.28515625" style="586" customWidth="1"/>
    <col min="12326" max="12326" width="17.140625" style="586" customWidth="1"/>
    <col min="12327" max="12327" width="20.42578125" style="586" customWidth="1"/>
    <col min="12328" max="12330" width="17.140625" style="586" customWidth="1"/>
    <col min="12331" max="12331" width="19.7109375" style="586" customWidth="1"/>
    <col min="12332" max="12334" width="19" style="586" customWidth="1"/>
    <col min="12335" max="12335" width="21" style="586" customWidth="1"/>
    <col min="12336" max="12338" width="19.42578125" style="586" customWidth="1"/>
    <col min="12339" max="12339" width="21" style="586" customWidth="1"/>
    <col min="12340" max="12342" width="19.42578125" style="586" customWidth="1"/>
    <col min="12343" max="12343" width="21" style="586" customWidth="1"/>
    <col min="12344" max="12350" width="19.42578125" style="586" customWidth="1"/>
    <col min="12351" max="12351" width="21.42578125" style="586" customWidth="1"/>
    <col min="12352" max="12352" width="21" style="586" customWidth="1"/>
    <col min="12353" max="12353" width="22.140625" style="586" customWidth="1"/>
    <col min="12354" max="12354" width="21.7109375" style="586" customWidth="1"/>
    <col min="12355" max="12355" width="21.140625" style="586" customWidth="1"/>
    <col min="12356" max="12356" width="20.7109375" style="586" customWidth="1"/>
    <col min="12357" max="12358" width="19.42578125" style="586" customWidth="1"/>
    <col min="12359" max="12359" width="21.42578125" style="586" customWidth="1"/>
    <col min="12360" max="12374" width="19.42578125" style="586" customWidth="1"/>
    <col min="12375" max="12375" width="21.7109375" style="586" customWidth="1"/>
    <col min="12376" max="12386" width="19.42578125" style="586" customWidth="1"/>
    <col min="12387" max="12387" width="20.85546875" style="586" customWidth="1"/>
    <col min="12388" max="12390" width="20" style="586" customWidth="1"/>
    <col min="12391" max="12391" width="20.85546875" style="586" customWidth="1"/>
    <col min="12392" max="12394" width="20" style="586" customWidth="1"/>
    <col min="12395" max="12395" width="20.85546875" style="586" customWidth="1"/>
    <col min="12396" max="12398" width="20" style="586" customWidth="1"/>
    <col min="12399" max="12399" width="20.85546875" style="586" customWidth="1"/>
    <col min="12400" max="12402" width="20" style="586" customWidth="1"/>
    <col min="12403" max="12403" width="20.85546875" style="586" customWidth="1"/>
    <col min="12404" max="12406" width="20" style="586" customWidth="1"/>
    <col min="12407" max="12407" width="20.85546875" style="586" customWidth="1"/>
    <col min="12408" max="12410" width="20" style="586" customWidth="1"/>
    <col min="12411" max="12411" width="20.85546875" style="586" customWidth="1"/>
    <col min="12412" max="12414" width="20" style="586" customWidth="1"/>
    <col min="12415" max="12415" width="20.85546875" style="586" customWidth="1"/>
    <col min="12416" max="12418" width="20" style="586" customWidth="1"/>
    <col min="12419" max="12419" width="20.28515625" style="586" customWidth="1"/>
    <col min="12420" max="12420" width="25.42578125" style="586" customWidth="1"/>
    <col min="12421" max="12421" width="18" style="586" customWidth="1"/>
    <col min="12422" max="12422" width="19.140625" style="586" customWidth="1"/>
    <col min="12423" max="12423" width="21.85546875" style="586" customWidth="1"/>
    <col min="12424" max="12425" width="25.28515625" style="586" customWidth="1"/>
    <col min="12426" max="12426" width="24.42578125" style="586" customWidth="1"/>
    <col min="12427" max="12427" width="36.42578125" style="586" customWidth="1"/>
    <col min="12428" max="12428" width="11.42578125" style="586"/>
    <col min="12429" max="12429" width="19.7109375" style="586" bestFit="1" customWidth="1"/>
    <col min="12430" max="12552" width="11.42578125" style="586"/>
    <col min="12553" max="12553" width="54.140625" style="586" customWidth="1"/>
    <col min="12554" max="12554" width="22.85546875" style="586" customWidth="1"/>
    <col min="12555" max="12558" width="20.28515625" style="586" customWidth="1"/>
    <col min="12559" max="12566" width="18.28515625" style="586" customWidth="1"/>
    <col min="12567" max="12570" width="20.5703125" style="586" customWidth="1"/>
    <col min="12571" max="12571" width="20.28515625" style="586" customWidth="1"/>
    <col min="12572" max="12572" width="25.42578125" style="586" customWidth="1"/>
    <col min="12573" max="12573" width="18" style="586" customWidth="1"/>
    <col min="12574" max="12575" width="19.140625" style="586" customWidth="1"/>
    <col min="12576" max="12576" width="18" style="586" customWidth="1"/>
    <col min="12577" max="12578" width="20.140625" style="586" customWidth="1"/>
    <col min="12579" max="12580" width="18.42578125" style="586" customWidth="1"/>
    <col min="12581" max="12581" width="17.28515625" style="586" customWidth="1"/>
    <col min="12582" max="12582" width="17.140625" style="586" customWidth="1"/>
    <col min="12583" max="12583" width="20.42578125" style="586" customWidth="1"/>
    <col min="12584" max="12586" width="17.140625" style="586" customWidth="1"/>
    <col min="12587" max="12587" width="19.7109375" style="586" customWidth="1"/>
    <col min="12588" max="12590" width="19" style="586" customWidth="1"/>
    <col min="12591" max="12591" width="21" style="586" customWidth="1"/>
    <col min="12592" max="12594" width="19.42578125" style="586" customWidth="1"/>
    <col min="12595" max="12595" width="21" style="586" customWidth="1"/>
    <col min="12596" max="12598" width="19.42578125" style="586" customWidth="1"/>
    <col min="12599" max="12599" width="21" style="586" customWidth="1"/>
    <col min="12600" max="12606" width="19.42578125" style="586" customWidth="1"/>
    <col min="12607" max="12607" width="21.42578125" style="586" customWidth="1"/>
    <col min="12608" max="12608" width="21" style="586" customWidth="1"/>
    <col min="12609" max="12609" width="22.140625" style="586" customWidth="1"/>
    <col min="12610" max="12610" width="21.7109375" style="586" customWidth="1"/>
    <col min="12611" max="12611" width="21.140625" style="586" customWidth="1"/>
    <col min="12612" max="12612" width="20.7109375" style="586" customWidth="1"/>
    <col min="12613" max="12614" width="19.42578125" style="586" customWidth="1"/>
    <col min="12615" max="12615" width="21.42578125" style="586" customWidth="1"/>
    <col min="12616" max="12630" width="19.42578125" style="586" customWidth="1"/>
    <col min="12631" max="12631" width="21.7109375" style="586" customWidth="1"/>
    <col min="12632" max="12642" width="19.42578125" style="586" customWidth="1"/>
    <col min="12643" max="12643" width="20.85546875" style="586" customWidth="1"/>
    <col min="12644" max="12646" width="20" style="586" customWidth="1"/>
    <col min="12647" max="12647" width="20.85546875" style="586" customWidth="1"/>
    <col min="12648" max="12650" width="20" style="586" customWidth="1"/>
    <col min="12651" max="12651" width="20.85546875" style="586" customWidth="1"/>
    <col min="12652" max="12654" width="20" style="586" customWidth="1"/>
    <col min="12655" max="12655" width="20.85546875" style="586" customWidth="1"/>
    <col min="12656" max="12658" width="20" style="586" customWidth="1"/>
    <col min="12659" max="12659" width="20.85546875" style="586" customWidth="1"/>
    <col min="12660" max="12662" width="20" style="586" customWidth="1"/>
    <col min="12663" max="12663" width="20.85546875" style="586" customWidth="1"/>
    <col min="12664" max="12666" width="20" style="586" customWidth="1"/>
    <col min="12667" max="12667" width="20.85546875" style="586" customWidth="1"/>
    <col min="12668" max="12670" width="20" style="586" customWidth="1"/>
    <col min="12671" max="12671" width="20.85546875" style="586" customWidth="1"/>
    <col min="12672" max="12674" width="20" style="586" customWidth="1"/>
    <col min="12675" max="12675" width="20.28515625" style="586" customWidth="1"/>
    <col min="12676" max="12676" width="25.42578125" style="586" customWidth="1"/>
    <col min="12677" max="12677" width="18" style="586" customWidth="1"/>
    <col min="12678" max="12678" width="19.140625" style="586" customWidth="1"/>
    <col min="12679" max="12679" width="21.85546875" style="586" customWidth="1"/>
    <col min="12680" max="12681" width="25.28515625" style="586" customWidth="1"/>
    <col min="12682" max="12682" width="24.42578125" style="586" customWidth="1"/>
    <col min="12683" max="12683" width="36.42578125" style="586" customWidth="1"/>
    <col min="12684" max="12684" width="11.42578125" style="586"/>
    <col min="12685" max="12685" width="19.7109375" style="586" bestFit="1" customWidth="1"/>
    <col min="12686" max="12808" width="11.42578125" style="586"/>
    <col min="12809" max="12809" width="54.140625" style="586" customWidth="1"/>
    <col min="12810" max="12810" width="22.85546875" style="586" customWidth="1"/>
    <col min="12811" max="12814" width="20.28515625" style="586" customWidth="1"/>
    <col min="12815" max="12822" width="18.28515625" style="586" customWidth="1"/>
    <col min="12823" max="12826" width="20.5703125" style="586" customWidth="1"/>
    <col min="12827" max="12827" width="20.28515625" style="586" customWidth="1"/>
    <col min="12828" max="12828" width="25.42578125" style="586" customWidth="1"/>
    <col min="12829" max="12829" width="18" style="586" customWidth="1"/>
    <col min="12830" max="12831" width="19.140625" style="586" customWidth="1"/>
    <col min="12832" max="12832" width="18" style="586" customWidth="1"/>
    <col min="12833" max="12834" width="20.140625" style="586" customWidth="1"/>
    <col min="12835" max="12836" width="18.42578125" style="586" customWidth="1"/>
    <col min="12837" max="12837" width="17.28515625" style="586" customWidth="1"/>
    <col min="12838" max="12838" width="17.140625" style="586" customWidth="1"/>
    <col min="12839" max="12839" width="20.42578125" style="586" customWidth="1"/>
    <col min="12840" max="12842" width="17.140625" style="586" customWidth="1"/>
    <col min="12843" max="12843" width="19.7109375" style="586" customWidth="1"/>
    <col min="12844" max="12846" width="19" style="586" customWidth="1"/>
    <col min="12847" max="12847" width="21" style="586" customWidth="1"/>
    <col min="12848" max="12850" width="19.42578125" style="586" customWidth="1"/>
    <col min="12851" max="12851" width="21" style="586" customWidth="1"/>
    <col min="12852" max="12854" width="19.42578125" style="586" customWidth="1"/>
    <col min="12855" max="12855" width="21" style="586" customWidth="1"/>
    <col min="12856" max="12862" width="19.42578125" style="586" customWidth="1"/>
    <col min="12863" max="12863" width="21.42578125" style="586" customWidth="1"/>
    <col min="12864" max="12864" width="21" style="586" customWidth="1"/>
    <col min="12865" max="12865" width="22.140625" style="586" customWidth="1"/>
    <col min="12866" max="12866" width="21.7109375" style="586" customWidth="1"/>
    <col min="12867" max="12867" width="21.140625" style="586" customWidth="1"/>
    <col min="12868" max="12868" width="20.7109375" style="586" customWidth="1"/>
    <col min="12869" max="12870" width="19.42578125" style="586" customWidth="1"/>
    <col min="12871" max="12871" width="21.42578125" style="586" customWidth="1"/>
    <col min="12872" max="12886" width="19.42578125" style="586" customWidth="1"/>
    <col min="12887" max="12887" width="21.7109375" style="586" customWidth="1"/>
    <col min="12888" max="12898" width="19.42578125" style="586" customWidth="1"/>
    <col min="12899" max="12899" width="20.85546875" style="586" customWidth="1"/>
    <col min="12900" max="12902" width="20" style="586" customWidth="1"/>
    <col min="12903" max="12903" width="20.85546875" style="586" customWidth="1"/>
    <col min="12904" max="12906" width="20" style="586" customWidth="1"/>
    <col min="12907" max="12907" width="20.85546875" style="586" customWidth="1"/>
    <col min="12908" max="12910" width="20" style="586" customWidth="1"/>
    <col min="12911" max="12911" width="20.85546875" style="586" customWidth="1"/>
    <col min="12912" max="12914" width="20" style="586" customWidth="1"/>
    <col min="12915" max="12915" width="20.85546875" style="586" customWidth="1"/>
    <col min="12916" max="12918" width="20" style="586" customWidth="1"/>
    <col min="12919" max="12919" width="20.85546875" style="586" customWidth="1"/>
    <col min="12920" max="12922" width="20" style="586" customWidth="1"/>
    <col min="12923" max="12923" width="20.85546875" style="586" customWidth="1"/>
    <col min="12924" max="12926" width="20" style="586" customWidth="1"/>
    <col min="12927" max="12927" width="20.85546875" style="586" customWidth="1"/>
    <col min="12928" max="12930" width="20" style="586" customWidth="1"/>
    <col min="12931" max="12931" width="20.28515625" style="586" customWidth="1"/>
    <col min="12932" max="12932" width="25.42578125" style="586" customWidth="1"/>
    <col min="12933" max="12933" width="18" style="586" customWidth="1"/>
    <col min="12934" max="12934" width="19.140625" style="586" customWidth="1"/>
    <col min="12935" max="12935" width="21.85546875" style="586" customWidth="1"/>
    <col min="12936" max="12937" width="25.28515625" style="586" customWidth="1"/>
    <col min="12938" max="12938" width="24.42578125" style="586" customWidth="1"/>
    <col min="12939" max="12939" width="36.42578125" style="586" customWidth="1"/>
    <col min="12940" max="12940" width="11.42578125" style="586"/>
    <col min="12941" max="12941" width="19.7109375" style="586" bestFit="1" customWidth="1"/>
    <col min="12942" max="13064" width="11.42578125" style="586"/>
    <col min="13065" max="13065" width="54.140625" style="586" customWidth="1"/>
    <col min="13066" max="13066" width="22.85546875" style="586" customWidth="1"/>
    <col min="13067" max="13070" width="20.28515625" style="586" customWidth="1"/>
    <col min="13071" max="13078" width="18.28515625" style="586" customWidth="1"/>
    <col min="13079" max="13082" width="20.5703125" style="586" customWidth="1"/>
    <col min="13083" max="13083" width="20.28515625" style="586" customWidth="1"/>
    <col min="13084" max="13084" width="25.42578125" style="586" customWidth="1"/>
    <col min="13085" max="13085" width="18" style="586" customWidth="1"/>
    <col min="13086" max="13087" width="19.140625" style="586" customWidth="1"/>
    <col min="13088" max="13088" width="18" style="586" customWidth="1"/>
    <col min="13089" max="13090" width="20.140625" style="586" customWidth="1"/>
    <col min="13091" max="13092" width="18.42578125" style="586" customWidth="1"/>
    <col min="13093" max="13093" width="17.28515625" style="586" customWidth="1"/>
    <col min="13094" max="13094" width="17.140625" style="586" customWidth="1"/>
    <col min="13095" max="13095" width="20.42578125" style="586" customWidth="1"/>
    <col min="13096" max="13098" width="17.140625" style="586" customWidth="1"/>
    <col min="13099" max="13099" width="19.7109375" style="586" customWidth="1"/>
    <col min="13100" max="13102" width="19" style="586" customWidth="1"/>
    <col min="13103" max="13103" width="21" style="586" customWidth="1"/>
    <col min="13104" max="13106" width="19.42578125" style="586" customWidth="1"/>
    <col min="13107" max="13107" width="21" style="586" customWidth="1"/>
    <col min="13108" max="13110" width="19.42578125" style="586" customWidth="1"/>
    <col min="13111" max="13111" width="21" style="586" customWidth="1"/>
    <col min="13112" max="13118" width="19.42578125" style="586" customWidth="1"/>
    <col min="13119" max="13119" width="21.42578125" style="586" customWidth="1"/>
    <col min="13120" max="13120" width="21" style="586" customWidth="1"/>
    <col min="13121" max="13121" width="22.140625" style="586" customWidth="1"/>
    <col min="13122" max="13122" width="21.7109375" style="586" customWidth="1"/>
    <col min="13123" max="13123" width="21.140625" style="586" customWidth="1"/>
    <col min="13124" max="13124" width="20.7109375" style="586" customWidth="1"/>
    <col min="13125" max="13126" width="19.42578125" style="586" customWidth="1"/>
    <col min="13127" max="13127" width="21.42578125" style="586" customWidth="1"/>
    <col min="13128" max="13142" width="19.42578125" style="586" customWidth="1"/>
    <col min="13143" max="13143" width="21.7109375" style="586" customWidth="1"/>
    <col min="13144" max="13154" width="19.42578125" style="586" customWidth="1"/>
    <col min="13155" max="13155" width="20.85546875" style="586" customWidth="1"/>
    <col min="13156" max="13158" width="20" style="586" customWidth="1"/>
    <col min="13159" max="13159" width="20.85546875" style="586" customWidth="1"/>
    <col min="13160" max="13162" width="20" style="586" customWidth="1"/>
    <col min="13163" max="13163" width="20.85546875" style="586" customWidth="1"/>
    <col min="13164" max="13166" width="20" style="586" customWidth="1"/>
    <col min="13167" max="13167" width="20.85546875" style="586" customWidth="1"/>
    <col min="13168" max="13170" width="20" style="586" customWidth="1"/>
    <col min="13171" max="13171" width="20.85546875" style="586" customWidth="1"/>
    <col min="13172" max="13174" width="20" style="586" customWidth="1"/>
    <col min="13175" max="13175" width="20.85546875" style="586" customWidth="1"/>
    <col min="13176" max="13178" width="20" style="586" customWidth="1"/>
    <col min="13179" max="13179" width="20.85546875" style="586" customWidth="1"/>
    <col min="13180" max="13182" width="20" style="586" customWidth="1"/>
    <col min="13183" max="13183" width="20.85546875" style="586" customWidth="1"/>
    <col min="13184" max="13186" width="20" style="586" customWidth="1"/>
    <col min="13187" max="13187" width="20.28515625" style="586" customWidth="1"/>
    <col min="13188" max="13188" width="25.42578125" style="586" customWidth="1"/>
    <col min="13189" max="13189" width="18" style="586" customWidth="1"/>
    <col min="13190" max="13190" width="19.140625" style="586" customWidth="1"/>
    <col min="13191" max="13191" width="21.85546875" style="586" customWidth="1"/>
    <col min="13192" max="13193" width="25.28515625" style="586" customWidth="1"/>
    <col min="13194" max="13194" width="24.42578125" style="586" customWidth="1"/>
    <col min="13195" max="13195" width="36.42578125" style="586" customWidth="1"/>
    <col min="13196" max="13196" width="11.42578125" style="586"/>
    <col min="13197" max="13197" width="19.7109375" style="586" bestFit="1" customWidth="1"/>
    <col min="13198" max="13320" width="11.42578125" style="586"/>
    <col min="13321" max="13321" width="54.140625" style="586" customWidth="1"/>
    <col min="13322" max="13322" width="22.85546875" style="586" customWidth="1"/>
    <col min="13323" max="13326" width="20.28515625" style="586" customWidth="1"/>
    <col min="13327" max="13334" width="18.28515625" style="586" customWidth="1"/>
    <col min="13335" max="13338" width="20.5703125" style="586" customWidth="1"/>
    <col min="13339" max="13339" width="20.28515625" style="586" customWidth="1"/>
    <col min="13340" max="13340" width="25.42578125" style="586" customWidth="1"/>
    <col min="13341" max="13341" width="18" style="586" customWidth="1"/>
    <col min="13342" max="13343" width="19.140625" style="586" customWidth="1"/>
    <col min="13344" max="13344" width="18" style="586" customWidth="1"/>
    <col min="13345" max="13346" width="20.140625" style="586" customWidth="1"/>
    <col min="13347" max="13348" width="18.42578125" style="586" customWidth="1"/>
    <col min="13349" max="13349" width="17.28515625" style="586" customWidth="1"/>
    <col min="13350" max="13350" width="17.140625" style="586" customWidth="1"/>
    <col min="13351" max="13351" width="20.42578125" style="586" customWidth="1"/>
    <col min="13352" max="13354" width="17.140625" style="586" customWidth="1"/>
    <col min="13355" max="13355" width="19.7109375" style="586" customWidth="1"/>
    <col min="13356" max="13358" width="19" style="586" customWidth="1"/>
    <col min="13359" max="13359" width="21" style="586" customWidth="1"/>
    <col min="13360" max="13362" width="19.42578125" style="586" customWidth="1"/>
    <col min="13363" max="13363" width="21" style="586" customWidth="1"/>
    <col min="13364" max="13366" width="19.42578125" style="586" customWidth="1"/>
    <col min="13367" max="13367" width="21" style="586" customWidth="1"/>
    <col min="13368" max="13374" width="19.42578125" style="586" customWidth="1"/>
    <col min="13375" max="13375" width="21.42578125" style="586" customWidth="1"/>
    <col min="13376" max="13376" width="21" style="586" customWidth="1"/>
    <col min="13377" max="13377" width="22.140625" style="586" customWidth="1"/>
    <col min="13378" max="13378" width="21.7109375" style="586" customWidth="1"/>
    <col min="13379" max="13379" width="21.140625" style="586" customWidth="1"/>
    <col min="13380" max="13380" width="20.7109375" style="586" customWidth="1"/>
    <col min="13381" max="13382" width="19.42578125" style="586" customWidth="1"/>
    <col min="13383" max="13383" width="21.42578125" style="586" customWidth="1"/>
    <col min="13384" max="13398" width="19.42578125" style="586" customWidth="1"/>
    <col min="13399" max="13399" width="21.7109375" style="586" customWidth="1"/>
    <col min="13400" max="13410" width="19.42578125" style="586" customWidth="1"/>
    <col min="13411" max="13411" width="20.85546875" style="586" customWidth="1"/>
    <col min="13412" max="13414" width="20" style="586" customWidth="1"/>
    <col min="13415" max="13415" width="20.85546875" style="586" customWidth="1"/>
    <col min="13416" max="13418" width="20" style="586" customWidth="1"/>
    <col min="13419" max="13419" width="20.85546875" style="586" customWidth="1"/>
    <col min="13420" max="13422" width="20" style="586" customWidth="1"/>
    <col min="13423" max="13423" width="20.85546875" style="586" customWidth="1"/>
    <col min="13424" max="13426" width="20" style="586" customWidth="1"/>
    <col min="13427" max="13427" width="20.85546875" style="586" customWidth="1"/>
    <col min="13428" max="13430" width="20" style="586" customWidth="1"/>
    <col min="13431" max="13431" width="20.85546875" style="586" customWidth="1"/>
    <col min="13432" max="13434" width="20" style="586" customWidth="1"/>
    <col min="13435" max="13435" width="20.85546875" style="586" customWidth="1"/>
    <col min="13436" max="13438" width="20" style="586" customWidth="1"/>
    <col min="13439" max="13439" width="20.85546875" style="586" customWidth="1"/>
    <col min="13440" max="13442" width="20" style="586" customWidth="1"/>
    <col min="13443" max="13443" width="20.28515625" style="586" customWidth="1"/>
    <col min="13444" max="13444" width="25.42578125" style="586" customWidth="1"/>
    <col min="13445" max="13445" width="18" style="586" customWidth="1"/>
    <col min="13446" max="13446" width="19.140625" style="586" customWidth="1"/>
    <col min="13447" max="13447" width="21.85546875" style="586" customWidth="1"/>
    <col min="13448" max="13449" width="25.28515625" style="586" customWidth="1"/>
    <col min="13450" max="13450" width="24.42578125" style="586" customWidth="1"/>
    <col min="13451" max="13451" width="36.42578125" style="586" customWidth="1"/>
    <col min="13452" max="13452" width="11.42578125" style="586"/>
    <col min="13453" max="13453" width="19.7109375" style="586" bestFit="1" customWidth="1"/>
    <col min="13454" max="13576" width="11.42578125" style="586"/>
    <col min="13577" max="13577" width="54.140625" style="586" customWidth="1"/>
    <col min="13578" max="13578" width="22.85546875" style="586" customWidth="1"/>
    <col min="13579" max="13582" width="20.28515625" style="586" customWidth="1"/>
    <col min="13583" max="13590" width="18.28515625" style="586" customWidth="1"/>
    <col min="13591" max="13594" width="20.5703125" style="586" customWidth="1"/>
    <col min="13595" max="13595" width="20.28515625" style="586" customWidth="1"/>
    <col min="13596" max="13596" width="25.42578125" style="586" customWidth="1"/>
    <col min="13597" max="13597" width="18" style="586" customWidth="1"/>
    <col min="13598" max="13599" width="19.140625" style="586" customWidth="1"/>
    <col min="13600" max="13600" width="18" style="586" customWidth="1"/>
    <col min="13601" max="13602" width="20.140625" style="586" customWidth="1"/>
    <col min="13603" max="13604" width="18.42578125" style="586" customWidth="1"/>
    <col min="13605" max="13605" width="17.28515625" style="586" customWidth="1"/>
    <col min="13606" max="13606" width="17.140625" style="586" customWidth="1"/>
    <col min="13607" max="13607" width="20.42578125" style="586" customWidth="1"/>
    <col min="13608" max="13610" width="17.140625" style="586" customWidth="1"/>
    <col min="13611" max="13611" width="19.7109375" style="586" customWidth="1"/>
    <col min="13612" max="13614" width="19" style="586" customWidth="1"/>
    <col min="13615" max="13615" width="21" style="586" customWidth="1"/>
    <col min="13616" max="13618" width="19.42578125" style="586" customWidth="1"/>
    <col min="13619" max="13619" width="21" style="586" customWidth="1"/>
    <col min="13620" max="13622" width="19.42578125" style="586" customWidth="1"/>
    <col min="13623" max="13623" width="21" style="586" customWidth="1"/>
    <col min="13624" max="13630" width="19.42578125" style="586" customWidth="1"/>
    <col min="13631" max="13631" width="21.42578125" style="586" customWidth="1"/>
    <col min="13632" max="13632" width="21" style="586" customWidth="1"/>
    <col min="13633" max="13633" width="22.140625" style="586" customWidth="1"/>
    <col min="13634" max="13634" width="21.7109375" style="586" customWidth="1"/>
    <col min="13635" max="13635" width="21.140625" style="586" customWidth="1"/>
    <col min="13636" max="13636" width="20.7109375" style="586" customWidth="1"/>
    <col min="13637" max="13638" width="19.42578125" style="586" customWidth="1"/>
    <col min="13639" max="13639" width="21.42578125" style="586" customWidth="1"/>
    <col min="13640" max="13654" width="19.42578125" style="586" customWidth="1"/>
    <col min="13655" max="13655" width="21.7109375" style="586" customWidth="1"/>
    <col min="13656" max="13666" width="19.42578125" style="586" customWidth="1"/>
    <col min="13667" max="13667" width="20.85546875" style="586" customWidth="1"/>
    <col min="13668" max="13670" width="20" style="586" customWidth="1"/>
    <col min="13671" max="13671" width="20.85546875" style="586" customWidth="1"/>
    <col min="13672" max="13674" width="20" style="586" customWidth="1"/>
    <col min="13675" max="13675" width="20.85546875" style="586" customWidth="1"/>
    <col min="13676" max="13678" width="20" style="586" customWidth="1"/>
    <col min="13679" max="13679" width="20.85546875" style="586" customWidth="1"/>
    <col min="13680" max="13682" width="20" style="586" customWidth="1"/>
    <col min="13683" max="13683" width="20.85546875" style="586" customWidth="1"/>
    <col min="13684" max="13686" width="20" style="586" customWidth="1"/>
    <col min="13687" max="13687" width="20.85546875" style="586" customWidth="1"/>
    <col min="13688" max="13690" width="20" style="586" customWidth="1"/>
    <col min="13691" max="13691" width="20.85546875" style="586" customWidth="1"/>
    <col min="13692" max="13694" width="20" style="586" customWidth="1"/>
    <col min="13695" max="13695" width="20.85546875" style="586" customWidth="1"/>
    <col min="13696" max="13698" width="20" style="586" customWidth="1"/>
    <col min="13699" max="13699" width="20.28515625" style="586" customWidth="1"/>
    <col min="13700" max="13700" width="25.42578125" style="586" customWidth="1"/>
    <col min="13701" max="13701" width="18" style="586" customWidth="1"/>
    <col min="13702" max="13702" width="19.140625" style="586" customWidth="1"/>
    <col min="13703" max="13703" width="21.85546875" style="586" customWidth="1"/>
    <col min="13704" max="13705" width="25.28515625" style="586" customWidth="1"/>
    <col min="13706" max="13706" width="24.42578125" style="586" customWidth="1"/>
    <col min="13707" max="13707" width="36.42578125" style="586" customWidth="1"/>
    <col min="13708" max="13708" width="11.42578125" style="586"/>
    <col min="13709" max="13709" width="19.7109375" style="586" bestFit="1" customWidth="1"/>
    <col min="13710" max="13832" width="11.42578125" style="586"/>
    <col min="13833" max="13833" width="54.140625" style="586" customWidth="1"/>
    <col min="13834" max="13834" width="22.85546875" style="586" customWidth="1"/>
    <col min="13835" max="13838" width="20.28515625" style="586" customWidth="1"/>
    <col min="13839" max="13846" width="18.28515625" style="586" customWidth="1"/>
    <col min="13847" max="13850" width="20.5703125" style="586" customWidth="1"/>
    <col min="13851" max="13851" width="20.28515625" style="586" customWidth="1"/>
    <col min="13852" max="13852" width="25.42578125" style="586" customWidth="1"/>
    <col min="13853" max="13853" width="18" style="586" customWidth="1"/>
    <col min="13854" max="13855" width="19.140625" style="586" customWidth="1"/>
    <col min="13856" max="13856" width="18" style="586" customWidth="1"/>
    <col min="13857" max="13858" width="20.140625" style="586" customWidth="1"/>
    <col min="13859" max="13860" width="18.42578125" style="586" customWidth="1"/>
    <col min="13861" max="13861" width="17.28515625" style="586" customWidth="1"/>
    <col min="13862" max="13862" width="17.140625" style="586" customWidth="1"/>
    <col min="13863" max="13863" width="20.42578125" style="586" customWidth="1"/>
    <col min="13864" max="13866" width="17.140625" style="586" customWidth="1"/>
    <col min="13867" max="13867" width="19.7109375" style="586" customWidth="1"/>
    <col min="13868" max="13870" width="19" style="586" customWidth="1"/>
    <col min="13871" max="13871" width="21" style="586" customWidth="1"/>
    <col min="13872" max="13874" width="19.42578125" style="586" customWidth="1"/>
    <col min="13875" max="13875" width="21" style="586" customWidth="1"/>
    <col min="13876" max="13878" width="19.42578125" style="586" customWidth="1"/>
    <col min="13879" max="13879" width="21" style="586" customWidth="1"/>
    <col min="13880" max="13886" width="19.42578125" style="586" customWidth="1"/>
    <col min="13887" max="13887" width="21.42578125" style="586" customWidth="1"/>
    <col min="13888" max="13888" width="21" style="586" customWidth="1"/>
    <col min="13889" max="13889" width="22.140625" style="586" customWidth="1"/>
    <col min="13890" max="13890" width="21.7109375" style="586" customWidth="1"/>
    <col min="13891" max="13891" width="21.140625" style="586" customWidth="1"/>
    <col min="13892" max="13892" width="20.7109375" style="586" customWidth="1"/>
    <col min="13893" max="13894" width="19.42578125" style="586" customWidth="1"/>
    <col min="13895" max="13895" width="21.42578125" style="586" customWidth="1"/>
    <col min="13896" max="13910" width="19.42578125" style="586" customWidth="1"/>
    <col min="13911" max="13911" width="21.7109375" style="586" customWidth="1"/>
    <col min="13912" max="13922" width="19.42578125" style="586" customWidth="1"/>
    <col min="13923" max="13923" width="20.85546875" style="586" customWidth="1"/>
    <col min="13924" max="13926" width="20" style="586" customWidth="1"/>
    <col min="13927" max="13927" width="20.85546875" style="586" customWidth="1"/>
    <col min="13928" max="13930" width="20" style="586" customWidth="1"/>
    <col min="13931" max="13931" width="20.85546875" style="586" customWidth="1"/>
    <col min="13932" max="13934" width="20" style="586" customWidth="1"/>
    <col min="13935" max="13935" width="20.85546875" style="586" customWidth="1"/>
    <col min="13936" max="13938" width="20" style="586" customWidth="1"/>
    <col min="13939" max="13939" width="20.85546875" style="586" customWidth="1"/>
    <col min="13940" max="13942" width="20" style="586" customWidth="1"/>
    <col min="13943" max="13943" width="20.85546875" style="586" customWidth="1"/>
    <col min="13944" max="13946" width="20" style="586" customWidth="1"/>
    <col min="13947" max="13947" width="20.85546875" style="586" customWidth="1"/>
    <col min="13948" max="13950" width="20" style="586" customWidth="1"/>
    <col min="13951" max="13951" width="20.85546875" style="586" customWidth="1"/>
    <col min="13952" max="13954" width="20" style="586" customWidth="1"/>
    <col min="13955" max="13955" width="20.28515625" style="586" customWidth="1"/>
    <col min="13956" max="13956" width="25.42578125" style="586" customWidth="1"/>
    <col min="13957" max="13957" width="18" style="586" customWidth="1"/>
    <col min="13958" max="13958" width="19.140625" style="586" customWidth="1"/>
    <col min="13959" max="13959" width="21.85546875" style="586" customWidth="1"/>
    <col min="13960" max="13961" width="25.28515625" style="586" customWidth="1"/>
    <col min="13962" max="13962" width="24.42578125" style="586" customWidth="1"/>
    <col min="13963" max="13963" width="36.42578125" style="586" customWidth="1"/>
    <col min="13964" max="13964" width="11.42578125" style="586"/>
    <col min="13965" max="13965" width="19.7109375" style="586" bestFit="1" customWidth="1"/>
    <col min="13966" max="14088" width="11.42578125" style="586"/>
    <col min="14089" max="14089" width="54.140625" style="586" customWidth="1"/>
    <col min="14090" max="14090" width="22.85546875" style="586" customWidth="1"/>
    <col min="14091" max="14094" width="20.28515625" style="586" customWidth="1"/>
    <col min="14095" max="14102" width="18.28515625" style="586" customWidth="1"/>
    <col min="14103" max="14106" width="20.5703125" style="586" customWidth="1"/>
    <col min="14107" max="14107" width="20.28515625" style="586" customWidth="1"/>
    <col min="14108" max="14108" width="25.42578125" style="586" customWidth="1"/>
    <col min="14109" max="14109" width="18" style="586" customWidth="1"/>
    <col min="14110" max="14111" width="19.140625" style="586" customWidth="1"/>
    <col min="14112" max="14112" width="18" style="586" customWidth="1"/>
    <col min="14113" max="14114" width="20.140625" style="586" customWidth="1"/>
    <col min="14115" max="14116" width="18.42578125" style="586" customWidth="1"/>
    <col min="14117" max="14117" width="17.28515625" style="586" customWidth="1"/>
    <col min="14118" max="14118" width="17.140625" style="586" customWidth="1"/>
    <col min="14119" max="14119" width="20.42578125" style="586" customWidth="1"/>
    <col min="14120" max="14122" width="17.140625" style="586" customWidth="1"/>
    <col min="14123" max="14123" width="19.7109375" style="586" customWidth="1"/>
    <col min="14124" max="14126" width="19" style="586" customWidth="1"/>
    <col min="14127" max="14127" width="21" style="586" customWidth="1"/>
    <col min="14128" max="14130" width="19.42578125" style="586" customWidth="1"/>
    <col min="14131" max="14131" width="21" style="586" customWidth="1"/>
    <col min="14132" max="14134" width="19.42578125" style="586" customWidth="1"/>
    <col min="14135" max="14135" width="21" style="586" customWidth="1"/>
    <col min="14136" max="14142" width="19.42578125" style="586" customWidth="1"/>
    <col min="14143" max="14143" width="21.42578125" style="586" customWidth="1"/>
    <col min="14144" max="14144" width="21" style="586" customWidth="1"/>
    <col min="14145" max="14145" width="22.140625" style="586" customWidth="1"/>
    <col min="14146" max="14146" width="21.7109375" style="586" customWidth="1"/>
    <col min="14147" max="14147" width="21.140625" style="586" customWidth="1"/>
    <col min="14148" max="14148" width="20.7109375" style="586" customWidth="1"/>
    <col min="14149" max="14150" width="19.42578125" style="586" customWidth="1"/>
    <col min="14151" max="14151" width="21.42578125" style="586" customWidth="1"/>
    <col min="14152" max="14166" width="19.42578125" style="586" customWidth="1"/>
    <col min="14167" max="14167" width="21.7109375" style="586" customWidth="1"/>
    <col min="14168" max="14178" width="19.42578125" style="586" customWidth="1"/>
    <col min="14179" max="14179" width="20.85546875" style="586" customWidth="1"/>
    <col min="14180" max="14182" width="20" style="586" customWidth="1"/>
    <col min="14183" max="14183" width="20.85546875" style="586" customWidth="1"/>
    <col min="14184" max="14186" width="20" style="586" customWidth="1"/>
    <col min="14187" max="14187" width="20.85546875" style="586" customWidth="1"/>
    <col min="14188" max="14190" width="20" style="586" customWidth="1"/>
    <col min="14191" max="14191" width="20.85546875" style="586" customWidth="1"/>
    <col min="14192" max="14194" width="20" style="586" customWidth="1"/>
    <col min="14195" max="14195" width="20.85546875" style="586" customWidth="1"/>
    <col min="14196" max="14198" width="20" style="586" customWidth="1"/>
    <col min="14199" max="14199" width="20.85546875" style="586" customWidth="1"/>
    <col min="14200" max="14202" width="20" style="586" customWidth="1"/>
    <col min="14203" max="14203" width="20.85546875" style="586" customWidth="1"/>
    <col min="14204" max="14206" width="20" style="586" customWidth="1"/>
    <col min="14207" max="14207" width="20.85546875" style="586" customWidth="1"/>
    <col min="14208" max="14210" width="20" style="586" customWidth="1"/>
    <col min="14211" max="14211" width="20.28515625" style="586" customWidth="1"/>
    <col min="14212" max="14212" width="25.42578125" style="586" customWidth="1"/>
    <col min="14213" max="14213" width="18" style="586" customWidth="1"/>
    <col min="14214" max="14214" width="19.140625" style="586" customWidth="1"/>
    <col min="14215" max="14215" width="21.85546875" style="586" customWidth="1"/>
    <col min="14216" max="14217" width="25.28515625" style="586" customWidth="1"/>
    <col min="14218" max="14218" width="24.42578125" style="586" customWidth="1"/>
    <col min="14219" max="14219" width="36.42578125" style="586" customWidth="1"/>
    <col min="14220" max="14220" width="11.42578125" style="586"/>
    <col min="14221" max="14221" width="19.7109375" style="586" bestFit="1" customWidth="1"/>
    <col min="14222" max="14344" width="11.42578125" style="586"/>
    <col min="14345" max="14345" width="54.140625" style="586" customWidth="1"/>
    <col min="14346" max="14346" width="22.85546875" style="586" customWidth="1"/>
    <col min="14347" max="14350" width="20.28515625" style="586" customWidth="1"/>
    <col min="14351" max="14358" width="18.28515625" style="586" customWidth="1"/>
    <col min="14359" max="14362" width="20.5703125" style="586" customWidth="1"/>
    <col min="14363" max="14363" width="20.28515625" style="586" customWidth="1"/>
    <col min="14364" max="14364" width="25.42578125" style="586" customWidth="1"/>
    <col min="14365" max="14365" width="18" style="586" customWidth="1"/>
    <col min="14366" max="14367" width="19.140625" style="586" customWidth="1"/>
    <col min="14368" max="14368" width="18" style="586" customWidth="1"/>
    <col min="14369" max="14370" width="20.140625" style="586" customWidth="1"/>
    <col min="14371" max="14372" width="18.42578125" style="586" customWidth="1"/>
    <col min="14373" max="14373" width="17.28515625" style="586" customWidth="1"/>
    <col min="14374" max="14374" width="17.140625" style="586" customWidth="1"/>
    <col min="14375" max="14375" width="20.42578125" style="586" customWidth="1"/>
    <col min="14376" max="14378" width="17.140625" style="586" customWidth="1"/>
    <col min="14379" max="14379" width="19.7109375" style="586" customWidth="1"/>
    <col min="14380" max="14382" width="19" style="586" customWidth="1"/>
    <col min="14383" max="14383" width="21" style="586" customWidth="1"/>
    <col min="14384" max="14386" width="19.42578125" style="586" customWidth="1"/>
    <col min="14387" max="14387" width="21" style="586" customWidth="1"/>
    <col min="14388" max="14390" width="19.42578125" style="586" customWidth="1"/>
    <col min="14391" max="14391" width="21" style="586" customWidth="1"/>
    <col min="14392" max="14398" width="19.42578125" style="586" customWidth="1"/>
    <col min="14399" max="14399" width="21.42578125" style="586" customWidth="1"/>
    <col min="14400" max="14400" width="21" style="586" customWidth="1"/>
    <col min="14401" max="14401" width="22.140625" style="586" customWidth="1"/>
    <col min="14402" max="14402" width="21.7109375" style="586" customWidth="1"/>
    <col min="14403" max="14403" width="21.140625" style="586" customWidth="1"/>
    <col min="14404" max="14404" width="20.7109375" style="586" customWidth="1"/>
    <col min="14405" max="14406" width="19.42578125" style="586" customWidth="1"/>
    <col min="14407" max="14407" width="21.42578125" style="586" customWidth="1"/>
    <col min="14408" max="14422" width="19.42578125" style="586" customWidth="1"/>
    <col min="14423" max="14423" width="21.7109375" style="586" customWidth="1"/>
    <col min="14424" max="14434" width="19.42578125" style="586" customWidth="1"/>
    <col min="14435" max="14435" width="20.85546875" style="586" customWidth="1"/>
    <col min="14436" max="14438" width="20" style="586" customWidth="1"/>
    <col min="14439" max="14439" width="20.85546875" style="586" customWidth="1"/>
    <col min="14440" max="14442" width="20" style="586" customWidth="1"/>
    <col min="14443" max="14443" width="20.85546875" style="586" customWidth="1"/>
    <col min="14444" max="14446" width="20" style="586" customWidth="1"/>
    <col min="14447" max="14447" width="20.85546875" style="586" customWidth="1"/>
    <col min="14448" max="14450" width="20" style="586" customWidth="1"/>
    <col min="14451" max="14451" width="20.85546875" style="586" customWidth="1"/>
    <col min="14452" max="14454" width="20" style="586" customWidth="1"/>
    <col min="14455" max="14455" width="20.85546875" style="586" customWidth="1"/>
    <col min="14456" max="14458" width="20" style="586" customWidth="1"/>
    <col min="14459" max="14459" width="20.85546875" style="586" customWidth="1"/>
    <col min="14460" max="14462" width="20" style="586" customWidth="1"/>
    <col min="14463" max="14463" width="20.85546875" style="586" customWidth="1"/>
    <col min="14464" max="14466" width="20" style="586" customWidth="1"/>
    <col min="14467" max="14467" width="20.28515625" style="586" customWidth="1"/>
    <col min="14468" max="14468" width="25.42578125" style="586" customWidth="1"/>
    <col min="14469" max="14469" width="18" style="586" customWidth="1"/>
    <col min="14470" max="14470" width="19.140625" style="586" customWidth="1"/>
    <col min="14471" max="14471" width="21.85546875" style="586" customWidth="1"/>
    <col min="14472" max="14473" width="25.28515625" style="586" customWidth="1"/>
    <col min="14474" max="14474" width="24.42578125" style="586" customWidth="1"/>
    <col min="14475" max="14475" width="36.42578125" style="586" customWidth="1"/>
    <col min="14476" max="14476" width="11.42578125" style="586"/>
    <col min="14477" max="14477" width="19.7109375" style="586" bestFit="1" customWidth="1"/>
    <col min="14478" max="14600" width="11.42578125" style="586"/>
    <col min="14601" max="14601" width="54.140625" style="586" customWidth="1"/>
    <col min="14602" max="14602" width="22.85546875" style="586" customWidth="1"/>
    <col min="14603" max="14606" width="20.28515625" style="586" customWidth="1"/>
    <col min="14607" max="14614" width="18.28515625" style="586" customWidth="1"/>
    <col min="14615" max="14618" width="20.5703125" style="586" customWidth="1"/>
    <col min="14619" max="14619" width="20.28515625" style="586" customWidth="1"/>
    <col min="14620" max="14620" width="25.42578125" style="586" customWidth="1"/>
    <col min="14621" max="14621" width="18" style="586" customWidth="1"/>
    <col min="14622" max="14623" width="19.140625" style="586" customWidth="1"/>
    <col min="14624" max="14624" width="18" style="586" customWidth="1"/>
    <col min="14625" max="14626" width="20.140625" style="586" customWidth="1"/>
    <col min="14627" max="14628" width="18.42578125" style="586" customWidth="1"/>
    <col min="14629" max="14629" width="17.28515625" style="586" customWidth="1"/>
    <col min="14630" max="14630" width="17.140625" style="586" customWidth="1"/>
    <col min="14631" max="14631" width="20.42578125" style="586" customWidth="1"/>
    <col min="14632" max="14634" width="17.140625" style="586" customWidth="1"/>
    <col min="14635" max="14635" width="19.7109375" style="586" customWidth="1"/>
    <col min="14636" max="14638" width="19" style="586" customWidth="1"/>
    <col min="14639" max="14639" width="21" style="586" customWidth="1"/>
    <col min="14640" max="14642" width="19.42578125" style="586" customWidth="1"/>
    <col min="14643" max="14643" width="21" style="586" customWidth="1"/>
    <col min="14644" max="14646" width="19.42578125" style="586" customWidth="1"/>
    <col min="14647" max="14647" width="21" style="586" customWidth="1"/>
    <col min="14648" max="14654" width="19.42578125" style="586" customWidth="1"/>
    <col min="14655" max="14655" width="21.42578125" style="586" customWidth="1"/>
    <col min="14656" max="14656" width="21" style="586" customWidth="1"/>
    <col min="14657" max="14657" width="22.140625" style="586" customWidth="1"/>
    <col min="14658" max="14658" width="21.7109375" style="586" customWidth="1"/>
    <col min="14659" max="14659" width="21.140625" style="586" customWidth="1"/>
    <col min="14660" max="14660" width="20.7109375" style="586" customWidth="1"/>
    <col min="14661" max="14662" width="19.42578125" style="586" customWidth="1"/>
    <col min="14663" max="14663" width="21.42578125" style="586" customWidth="1"/>
    <col min="14664" max="14678" width="19.42578125" style="586" customWidth="1"/>
    <col min="14679" max="14679" width="21.7109375" style="586" customWidth="1"/>
    <col min="14680" max="14690" width="19.42578125" style="586" customWidth="1"/>
    <col min="14691" max="14691" width="20.85546875" style="586" customWidth="1"/>
    <col min="14692" max="14694" width="20" style="586" customWidth="1"/>
    <col min="14695" max="14695" width="20.85546875" style="586" customWidth="1"/>
    <col min="14696" max="14698" width="20" style="586" customWidth="1"/>
    <col min="14699" max="14699" width="20.85546875" style="586" customWidth="1"/>
    <col min="14700" max="14702" width="20" style="586" customWidth="1"/>
    <col min="14703" max="14703" width="20.85546875" style="586" customWidth="1"/>
    <col min="14704" max="14706" width="20" style="586" customWidth="1"/>
    <col min="14707" max="14707" width="20.85546875" style="586" customWidth="1"/>
    <col min="14708" max="14710" width="20" style="586" customWidth="1"/>
    <col min="14711" max="14711" width="20.85546875" style="586" customWidth="1"/>
    <col min="14712" max="14714" width="20" style="586" customWidth="1"/>
    <col min="14715" max="14715" width="20.85546875" style="586" customWidth="1"/>
    <col min="14716" max="14718" width="20" style="586" customWidth="1"/>
    <col min="14719" max="14719" width="20.85546875" style="586" customWidth="1"/>
    <col min="14720" max="14722" width="20" style="586" customWidth="1"/>
    <col min="14723" max="14723" width="20.28515625" style="586" customWidth="1"/>
    <col min="14724" max="14724" width="25.42578125" style="586" customWidth="1"/>
    <col min="14725" max="14725" width="18" style="586" customWidth="1"/>
    <col min="14726" max="14726" width="19.140625" style="586" customWidth="1"/>
    <col min="14727" max="14727" width="21.85546875" style="586" customWidth="1"/>
    <col min="14728" max="14729" width="25.28515625" style="586" customWidth="1"/>
    <col min="14730" max="14730" width="24.42578125" style="586" customWidth="1"/>
    <col min="14731" max="14731" width="36.42578125" style="586" customWidth="1"/>
    <col min="14732" max="14732" width="11.42578125" style="586"/>
    <col min="14733" max="14733" width="19.7109375" style="586" bestFit="1" customWidth="1"/>
    <col min="14734" max="14856" width="11.42578125" style="586"/>
    <col min="14857" max="14857" width="54.140625" style="586" customWidth="1"/>
    <col min="14858" max="14858" width="22.85546875" style="586" customWidth="1"/>
    <col min="14859" max="14862" width="20.28515625" style="586" customWidth="1"/>
    <col min="14863" max="14870" width="18.28515625" style="586" customWidth="1"/>
    <col min="14871" max="14874" width="20.5703125" style="586" customWidth="1"/>
    <col min="14875" max="14875" width="20.28515625" style="586" customWidth="1"/>
    <col min="14876" max="14876" width="25.42578125" style="586" customWidth="1"/>
    <col min="14877" max="14877" width="18" style="586" customWidth="1"/>
    <col min="14878" max="14879" width="19.140625" style="586" customWidth="1"/>
    <col min="14880" max="14880" width="18" style="586" customWidth="1"/>
    <col min="14881" max="14882" width="20.140625" style="586" customWidth="1"/>
    <col min="14883" max="14884" width="18.42578125" style="586" customWidth="1"/>
    <col min="14885" max="14885" width="17.28515625" style="586" customWidth="1"/>
    <col min="14886" max="14886" width="17.140625" style="586" customWidth="1"/>
    <col min="14887" max="14887" width="20.42578125" style="586" customWidth="1"/>
    <col min="14888" max="14890" width="17.140625" style="586" customWidth="1"/>
    <col min="14891" max="14891" width="19.7109375" style="586" customWidth="1"/>
    <col min="14892" max="14894" width="19" style="586" customWidth="1"/>
    <col min="14895" max="14895" width="21" style="586" customWidth="1"/>
    <col min="14896" max="14898" width="19.42578125" style="586" customWidth="1"/>
    <col min="14899" max="14899" width="21" style="586" customWidth="1"/>
    <col min="14900" max="14902" width="19.42578125" style="586" customWidth="1"/>
    <col min="14903" max="14903" width="21" style="586" customWidth="1"/>
    <col min="14904" max="14910" width="19.42578125" style="586" customWidth="1"/>
    <col min="14911" max="14911" width="21.42578125" style="586" customWidth="1"/>
    <col min="14912" max="14912" width="21" style="586" customWidth="1"/>
    <col min="14913" max="14913" width="22.140625" style="586" customWidth="1"/>
    <col min="14914" max="14914" width="21.7109375" style="586" customWidth="1"/>
    <col min="14915" max="14915" width="21.140625" style="586" customWidth="1"/>
    <col min="14916" max="14916" width="20.7109375" style="586" customWidth="1"/>
    <col min="14917" max="14918" width="19.42578125" style="586" customWidth="1"/>
    <col min="14919" max="14919" width="21.42578125" style="586" customWidth="1"/>
    <col min="14920" max="14934" width="19.42578125" style="586" customWidth="1"/>
    <col min="14935" max="14935" width="21.7109375" style="586" customWidth="1"/>
    <col min="14936" max="14946" width="19.42578125" style="586" customWidth="1"/>
    <col min="14947" max="14947" width="20.85546875" style="586" customWidth="1"/>
    <col min="14948" max="14950" width="20" style="586" customWidth="1"/>
    <col min="14951" max="14951" width="20.85546875" style="586" customWidth="1"/>
    <col min="14952" max="14954" width="20" style="586" customWidth="1"/>
    <col min="14955" max="14955" width="20.85546875" style="586" customWidth="1"/>
    <col min="14956" max="14958" width="20" style="586" customWidth="1"/>
    <col min="14959" max="14959" width="20.85546875" style="586" customWidth="1"/>
    <col min="14960" max="14962" width="20" style="586" customWidth="1"/>
    <col min="14963" max="14963" width="20.85546875" style="586" customWidth="1"/>
    <col min="14964" max="14966" width="20" style="586" customWidth="1"/>
    <col min="14967" max="14967" width="20.85546875" style="586" customWidth="1"/>
    <col min="14968" max="14970" width="20" style="586" customWidth="1"/>
    <col min="14971" max="14971" width="20.85546875" style="586" customWidth="1"/>
    <col min="14972" max="14974" width="20" style="586" customWidth="1"/>
    <col min="14975" max="14975" width="20.85546875" style="586" customWidth="1"/>
    <col min="14976" max="14978" width="20" style="586" customWidth="1"/>
    <col min="14979" max="14979" width="20.28515625" style="586" customWidth="1"/>
    <col min="14980" max="14980" width="25.42578125" style="586" customWidth="1"/>
    <col min="14981" max="14981" width="18" style="586" customWidth="1"/>
    <col min="14982" max="14982" width="19.140625" style="586" customWidth="1"/>
    <col min="14983" max="14983" width="21.85546875" style="586" customWidth="1"/>
    <col min="14984" max="14985" width="25.28515625" style="586" customWidth="1"/>
    <col min="14986" max="14986" width="24.42578125" style="586" customWidth="1"/>
    <col min="14987" max="14987" width="36.42578125" style="586" customWidth="1"/>
    <col min="14988" max="14988" width="11.42578125" style="586"/>
    <col min="14989" max="14989" width="19.7109375" style="586" bestFit="1" customWidth="1"/>
    <col min="14990" max="15112" width="11.42578125" style="586"/>
    <col min="15113" max="15113" width="54.140625" style="586" customWidth="1"/>
    <col min="15114" max="15114" width="22.85546875" style="586" customWidth="1"/>
    <col min="15115" max="15118" width="20.28515625" style="586" customWidth="1"/>
    <col min="15119" max="15126" width="18.28515625" style="586" customWidth="1"/>
    <col min="15127" max="15130" width="20.5703125" style="586" customWidth="1"/>
    <col min="15131" max="15131" width="20.28515625" style="586" customWidth="1"/>
    <col min="15132" max="15132" width="25.42578125" style="586" customWidth="1"/>
    <col min="15133" max="15133" width="18" style="586" customWidth="1"/>
    <col min="15134" max="15135" width="19.140625" style="586" customWidth="1"/>
    <col min="15136" max="15136" width="18" style="586" customWidth="1"/>
    <col min="15137" max="15138" width="20.140625" style="586" customWidth="1"/>
    <col min="15139" max="15140" width="18.42578125" style="586" customWidth="1"/>
    <col min="15141" max="15141" width="17.28515625" style="586" customWidth="1"/>
    <col min="15142" max="15142" width="17.140625" style="586" customWidth="1"/>
    <col min="15143" max="15143" width="20.42578125" style="586" customWidth="1"/>
    <col min="15144" max="15146" width="17.140625" style="586" customWidth="1"/>
    <col min="15147" max="15147" width="19.7109375" style="586" customWidth="1"/>
    <col min="15148" max="15150" width="19" style="586" customWidth="1"/>
    <col min="15151" max="15151" width="21" style="586" customWidth="1"/>
    <col min="15152" max="15154" width="19.42578125" style="586" customWidth="1"/>
    <col min="15155" max="15155" width="21" style="586" customWidth="1"/>
    <col min="15156" max="15158" width="19.42578125" style="586" customWidth="1"/>
    <col min="15159" max="15159" width="21" style="586" customWidth="1"/>
    <col min="15160" max="15166" width="19.42578125" style="586" customWidth="1"/>
    <col min="15167" max="15167" width="21.42578125" style="586" customWidth="1"/>
    <col min="15168" max="15168" width="21" style="586" customWidth="1"/>
    <col min="15169" max="15169" width="22.140625" style="586" customWidth="1"/>
    <col min="15170" max="15170" width="21.7109375" style="586" customWidth="1"/>
    <col min="15171" max="15171" width="21.140625" style="586" customWidth="1"/>
    <col min="15172" max="15172" width="20.7109375" style="586" customWidth="1"/>
    <col min="15173" max="15174" width="19.42578125" style="586" customWidth="1"/>
    <col min="15175" max="15175" width="21.42578125" style="586" customWidth="1"/>
    <col min="15176" max="15190" width="19.42578125" style="586" customWidth="1"/>
    <col min="15191" max="15191" width="21.7109375" style="586" customWidth="1"/>
    <col min="15192" max="15202" width="19.42578125" style="586" customWidth="1"/>
    <col min="15203" max="15203" width="20.85546875" style="586" customWidth="1"/>
    <col min="15204" max="15206" width="20" style="586" customWidth="1"/>
    <col min="15207" max="15207" width="20.85546875" style="586" customWidth="1"/>
    <col min="15208" max="15210" width="20" style="586" customWidth="1"/>
    <col min="15211" max="15211" width="20.85546875" style="586" customWidth="1"/>
    <col min="15212" max="15214" width="20" style="586" customWidth="1"/>
    <col min="15215" max="15215" width="20.85546875" style="586" customWidth="1"/>
    <col min="15216" max="15218" width="20" style="586" customWidth="1"/>
    <col min="15219" max="15219" width="20.85546875" style="586" customWidth="1"/>
    <col min="15220" max="15222" width="20" style="586" customWidth="1"/>
    <col min="15223" max="15223" width="20.85546875" style="586" customWidth="1"/>
    <col min="15224" max="15226" width="20" style="586" customWidth="1"/>
    <col min="15227" max="15227" width="20.85546875" style="586" customWidth="1"/>
    <col min="15228" max="15230" width="20" style="586" customWidth="1"/>
    <col min="15231" max="15231" width="20.85546875" style="586" customWidth="1"/>
    <col min="15232" max="15234" width="20" style="586" customWidth="1"/>
    <col min="15235" max="15235" width="20.28515625" style="586" customWidth="1"/>
    <col min="15236" max="15236" width="25.42578125" style="586" customWidth="1"/>
    <col min="15237" max="15237" width="18" style="586" customWidth="1"/>
    <col min="15238" max="15238" width="19.140625" style="586" customWidth="1"/>
    <col min="15239" max="15239" width="21.85546875" style="586" customWidth="1"/>
    <col min="15240" max="15241" width="25.28515625" style="586" customWidth="1"/>
    <col min="15242" max="15242" width="24.42578125" style="586" customWidth="1"/>
    <col min="15243" max="15243" width="36.42578125" style="586" customWidth="1"/>
    <col min="15244" max="15244" width="11.42578125" style="586"/>
    <col min="15245" max="15245" width="19.7109375" style="586" bestFit="1" customWidth="1"/>
    <col min="15246" max="15368" width="11.42578125" style="586"/>
    <col min="15369" max="15369" width="54.140625" style="586" customWidth="1"/>
    <col min="15370" max="15370" width="22.85546875" style="586" customWidth="1"/>
    <col min="15371" max="15374" width="20.28515625" style="586" customWidth="1"/>
    <col min="15375" max="15382" width="18.28515625" style="586" customWidth="1"/>
    <col min="15383" max="15386" width="20.5703125" style="586" customWidth="1"/>
    <col min="15387" max="15387" width="20.28515625" style="586" customWidth="1"/>
    <col min="15388" max="15388" width="25.42578125" style="586" customWidth="1"/>
    <col min="15389" max="15389" width="18" style="586" customWidth="1"/>
    <col min="15390" max="15391" width="19.140625" style="586" customWidth="1"/>
    <col min="15392" max="15392" width="18" style="586" customWidth="1"/>
    <col min="15393" max="15394" width="20.140625" style="586" customWidth="1"/>
    <col min="15395" max="15396" width="18.42578125" style="586" customWidth="1"/>
    <col min="15397" max="15397" width="17.28515625" style="586" customWidth="1"/>
    <col min="15398" max="15398" width="17.140625" style="586" customWidth="1"/>
    <col min="15399" max="15399" width="20.42578125" style="586" customWidth="1"/>
    <col min="15400" max="15402" width="17.140625" style="586" customWidth="1"/>
    <col min="15403" max="15403" width="19.7109375" style="586" customWidth="1"/>
    <col min="15404" max="15406" width="19" style="586" customWidth="1"/>
    <col min="15407" max="15407" width="21" style="586" customWidth="1"/>
    <col min="15408" max="15410" width="19.42578125" style="586" customWidth="1"/>
    <col min="15411" max="15411" width="21" style="586" customWidth="1"/>
    <col min="15412" max="15414" width="19.42578125" style="586" customWidth="1"/>
    <col min="15415" max="15415" width="21" style="586" customWidth="1"/>
    <col min="15416" max="15422" width="19.42578125" style="586" customWidth="1"/>
    <col min="15423" max="15423" width="21.42578125" style="586" customWidth="1"/>
    <col min="15424" max="15424" width="21" style="586" customWidth="1"/>
    <col min="15425" max="15425" width="22.140625" style="586" customWidth="1"/>
    <col min="15426" max="15426" width="21.7109375" style="586" customWidth="1"/>
    <col min="15427" max="15427" width="21.140625" style="586" customWidth="1"/>
    <col min="15428" max="15428" width="20.7109375" style="586" customWidth="1"/>
    <col min="15429" max="15430" width="19.42578125" style="586" customWidth="1"/>
    <col min="15431" max="15431" width="21.42578125" style="586" customWidth="1"/>
    <col min="15432" max="15446" width="19.42578125" style="586" customWidth="1"/>
    <col min="15447" max="15447" width="21.7109375" style="586" customWidth="1"/>
    <col min="15448" max="15458" width="19.42578125" style="586" customWidth="1"/>
    <col min="15459" max="15459" width="20.85546875" style="586" customWidth="1"/>
    <col min="15460" max="15462" width="20" style="586" customWidth="1"/>
    <col min="15463" max="15463" width="20.85546875" style="586" customWidth="1"/>
    <col min="15464" max="15466" width="20" style="586" customWidth="1"/>
    <col min="15467" max="15467" width="20.85546875" style="586" customWidth="1"/>
    <col min="15468" max="15470" width="20" style="586" customWidth="1"/>
    <col min="15471" max="15471" width="20.85546875" style="586" customWidth="1"/>
    <col min="15472" max="15474" width="20" style="586" customWidth="1"/>
    <col min="15475" max="15475" width="20.85546875" style="586" customWidth="1"/>
    <col min="15476" max="15478" width="20" style="586" customWidth="1"/>
    <col min="15479" max="15479" width="20.85546875" style="586" customWidth="1"/>
    <col min="15480" max="15482" width="20" style="586" customWidth="1"/>
    <col min="15483" max="15483" width="20.85546875" style="586" customWidth="1"/>
    <col min="15484" max="15486" width="20" style="586" customWidth="1"/>
    <col min="15487" max="15487" width="20.85546875" style="586" customWidth="1"/>
    <col min="15488" max="15490" width="20" style="586" customWidth="1"/>
    <col min="15491" max="15491" width="20.28515625" style="586" customWidth="1"/>
    <col min="15492" max="15492" width="25.42578125" style="586" customWidth="1"/>
    <col min="15493" max="15493" width="18" style="586" customWidth="1"/>
    <col min="15494" max="15494" width="19.140625" style="586" customWidth="1"/>
    <col min="15495" max="15495" width="21.85546875" style="586" customWidth="1"/>
    <col min="15496" max="15497" width="25.28515625" style="586" customWidth="1"/>
    <col min="15498" max="15498" width="24.42578125" style="586" customWidth="1"/>
    <col min="15499" max="15499" width="36.42578125" style="586" customWidth="1"/>
    <col min="15500" max="15500" width="11.42578125" style="586"/>
    <col min="15501" max="15501" width="19.7109375" style="586" bestFit="1" customWidth="1"/>
    <col min="15502" max="15624" width="11.42578125" style="586"/>
    <col min="15625" max="15625" width="54.140625" style="586" customWidth="1"/>
    <col min="15626" max="15626" width="22.85546875" style="586" customWidth="1"/>
    <col min="15627" max="15630" width="20.28515625" style="586" customWidth="1"/>
    <col min="15631" max="15638" width="18.28515625" style="586" customWidth="1"/>
    <col min="15639" max="15642" width="20.5703125" style="586" customWidth="1"/>
    <col min="15643" max="15643" width="20.28515625" style="586" customWidth="1"/>
    <col min="15644" max="15644" width="25.42578125" style="586" customWidth="1"/>
    <col min="15645" max="15645" width="18" style="586" customWidth="1"/>
    <col min="15646" max="15647" width="19.140625" style="586" customWidth="1"/>
    <col min="15648" max="15648" width="18" style="586" customWidth="1"/>
    <col min="15649" max="15650" width="20.140625" style="586" customWidth="1"/>
    <col min="15651" max="15652" width="18.42578125" style="586" customWidth="1"/>
    <col min="15653" max="15653" width="17.28515625" style="586" customWidth="1"/>
    <col min="15654" max="15654" width="17.140625" style="586" customWidth="1"/>
    <col min="15655" max="15655" width="20.42578125" style="586" customWidth="1"/>
    <col min="15656" max="15658" width="17.140625" style="586" customWidth="1"/>
    <col min="15659" max="15659" width="19.7109375" style="586" customWidth="1"/>
    <col min="15660" max="15662" width="19" style="586" customWidth="1"/>
    <col min="15663" max="15663" width="21" style="586" customWidth="1"/>
    <col min="15664" max="15666" width="19.42578125" style="586" customWidth="1"/>
    <col min="15667" max="15667" width="21" style="586" customWidth="1"/>
    <col min="15668" max="15670" width="19.42578125" style="586" customWidth="1"/>
    <col min="15671" max="15671" width="21" style="586" customWidth="1"/>
    <col min="15672" max="15678" width="19.42578125" style="586" customWidth="1"/>
    <col min="15679" max="15679" width="21.42578125" style="586" customWidth="1"/>
    <col min="15680" max="15680" width="21" style="586" customWidth="1"/>
    <col min="15681" max="15681" width="22.140625" style="586" customWidth="1"/>
    <col min="15682" max="15682" width="21.7109375" style="586" customWidth="1"/>
    <col min="15683" max="15683" width="21.140625" style="586" customWidth="1"/>
    <col min="15684" max="15684" width="20.7109375" style="586" customWidth="1"/>
    <col min="15685" max="15686" width="19.42578125" style="586" customWidth="1"/>
    <col min="15687" max="15687" width="21.42578125" style="586" customWidth="1"/>
    <col min="15688" max="15702" width="19.42578125" style="586" customWidth="1"/>
    <col min="15703" max="15703" width="21.7109375" style="586" customWidth="1"/>
    <col min="15704" max="15714" width="19.42578125" style="586" customWidth="1"/>
    <col min="15715" max="15715" width="20.85546875" style="586" customWidth="1"/>
    <col min="15716" max="15718" width="20" style="586" customWidth="1"/>
    <col min="15719" max="15719" width="20.85546875" style="586" customWidth="1"/>
    <col min="15720" max="15722" width="20" style="586" customWidth="1"/>
    <col min="15723" max="15723" width="20.85546875" style="586" customWidth="1"/>
    <col min="15724" max="15726" width="20" style="586" customWidth="1"/>
    <col min="15727" max="15727" width="20.85546875" style="586" customWidth="1"/>
    <col min="15728" max="15730" width="20" style="586" customWidth="1"/>
    <col min="15731" max="15731" width="20.85546875" style="586" customWidth="1"/>
    <col min="15732" max="15734" width="20" style="586" customWidth="1"/>
    <col min="15735" max="15735" width="20.85546875" style="586" customWidth="1"/>
    <col min="15736" max="15738" width="20" style="586" customWidth="1"/>
    <col min="15739" max="15739" width="20.85546875" style="586" customWidth="1"/>
    <col min="15740" max="15742" width="20" style="586" customWidth="1"/>
    <col min="15743" max="15743" width="20.85546875" style="586" customWidth="1"/>
    <col min="15744" max="15746" width="20" style="586" customWidth="1"/>
    <col min="15747" max="15747" width="20.28515625" style="586" customWidth="1"/>
    <col min="15748" max="15748" width="25.42578125" style="586" customWidth="1"/>
    <col min="15749" max="15749" width="18" style="586" customWidth="1"/>
    <col min="15750" max="15750" width="19.140625" style="586" customWidth="1"/>
    <col min="15751" max="15751" width="21.85546875" style="586" customWidth="1"/>
    <col min="15752" max="15753" width="25.28515625" style="586" customWidth="1"/>
    <col min="15754" max="15754" width="24.42578125" style="586" customWidth="1"/>
    <col min="15755" max="15755" width="36.42578125" style="586" customWidth="1"/>
    <col min="15756" max="15756" width="11.42578125" style="586"/>
    <col min="15757" max="15757" width="19.7109375" style="586" bestFit="1" customWidth="1"/>
    <col min="15758" max="15880" width="11.42578125" style="586"/>
    <col min="15881" max="15881" width="54.140625" style="586" customWidth="1"/>
    <col min="15882" max="15882" width="22.85546875" style="586" customWidth="1"/>
    <col min="15883" max="15886" width="20.28515625" style="586" customWidth="1"/>
    <col min="15887" max="15894" width="18.28515625" style="586" customWidth="1"/>
    <col min="15895" max="15898" width="20.5703125" style="586" customWidth="1"/>
    <col min="15899" max="15899" width="20.28515625" style="586" customWidth="1"/>
    <col min="15900" max="15900" width="25.42578125" style="586" customWidth="1"/>
    <col min="15901" max="15901" width="18" style="586" customWidth="1"/>
    <col min="15902" max="15903" width="19.140625" style="586" customWidth="1"/>
    <col min="15904" max="15904" width="18" style="586" customWidth="1"/>
    <col min="15905" max="15906" width="20.140625" style="586" customWidth="1"/>
    <col min="15907" max="15908" width="18.42578125" style="586" customWidth="1"/>
    <col min="15909" max="15909" width="17.28515625" style="586" customWidth="1"/>
    <col min="15910" max="15910" width="17.140625" style="586" customWidth="1"/>
    <col min="15911" max="15911" width="20.42578125" style="586" customWidth="1"/>
    <col min="15912" max="15914" width="17.140625" style="586" customWidth="1"/>
    <col min="15915" max="15915" width="19.7109375" style="586" customWidth="1"/>
    <col min="15916" max="15918" width="19" style="586" customWidth="1"/>
    <col min="15919" max="15919" width="21" style="586" customWidth="1"/>
    <col min="15920" max="15922" width="19.42578125" style="586" customWidth="1"/>
    <col min="15923" max="15923" width="21" style="586" customWidth="1"/>
    <col min="15924" max="15926" width="19.42578125" style="586" customWidth="1"/>
    <col min="15927" max="15927" width="21" style="586" customWidth="1"/>
    <col min="15928" max="15934" width="19.42578125" style="586" customWidth="1"/>
    <col min="15935" max="15935" width="21.42578125" style="586" customWidth="1"/>
    <col min="15936" max="15936" width="21" style="586" customWidth="1"/>
    <col min="15937" max="15937" width="22.140625" style="586" customWidth="1"/>
    <col min="15938" max="15938" width="21.7109375" style="586" customWidth="1"/>
    <col min="15939" max="15939" width="21.140625" style="586" customWidth="1"/>
    <col min="15940" max="15940" width="20.7109375" style="586" customWidth="1"/>
    <col min="15941" max="15942" width="19.42578125" style="586" customWidth="1"/>
    <col min="15943" max="15943" width="21.42578125" style="586" customWidth="1"/>
    <col min="15944" max="15958" width="19.42578125" style="586" customWidth="1"/>
    <col min="15959" max="15959" width="21.7109375" style="586" customWidth="1"/>
    <col min="15960" max="15970" width="19.42578125" style="586" customWidth="1"/>
    <col min="15971" max="15971" width="20.85546875" style="586" customWidth="1"/>
    <col min="15972" max="15974" width="20" style="586" customWidth="1"/>
    <col min="15975" max="15975" width="20.85546875" style="586" customWidth="1"/>
    <col min="15976" max="15978" width="20" style="586" customWidth="1"/>
    <col min="15979" max="15979" width="20.85546875" style="586" customWidth="1"/>
    <col min="15980" max="15982" width="20" style="586" customWidth="1"/>
    <col min="15983" max="15983" width="20.85546875" style="586" customWidth="1"/>
    <col min="15984" max="15986" width="20" style="586" customWidth="1"/>
    <col min="15987" max="15987" width="20.85546875" style="586" customWidth="1"/>
    <col min="15988" max="15990" width="20" style="586" customWidth="1"/>
    <col min="15991" max="15991" width="20.85546875" style="586" customWidth="1"/>
    <col min="15992" max="15994" width="20" style="586" customWidth="1"/>
    <col min="15995" max="15995" width="20.85546875" style="586" customWidth="1"/>
    <col min="15996" max="15998" width="20" style="586" customWidth="1"/>
    <col min="15999" max="15999" width="20.85546875" style="586" customWidth="1"/>
    <col min="16000" max="16002" width="20" style="586" customWidth="1"/>
    <col min="16003" max="16003" width="20.28515625" style="586" customWidth="1"/>
    <col min="16004" max="16004" width="25.42578125" style="586" customWidth="1"/>
    <col min="16005" max="16005" width="18" style="586" customWidth="1"/>
    <col min="16006" max="16006" width="19.140625" style="586" customWidth="1"/>
    <col min="16007" max="16007" width="21.85546875" style="586" customWidth="1"/>
    <col min="16008" max="16009" width="25.28515625" style="586" customWidth="1"/>
    <col min="16010" max="16010" width="24.42578125" style="586" customWidth="1"/>
    <col min="16011" max="16011" width="36.42578125" style="586" customWidth="1"/>
    <col min="16012" max="16012" width="11.42578125" style="586"/>
    <col min="16013" max="16013" width="19.7109375" style="586" bestFit="1" customWidth="1"/>
    <col min="16014" max="16136" width="11.42578125" style="586"/>
    <col min="16137" max="16137" width="54.140625" style="586" customWidth="1"/>
    <col min="16138" max="16138" width="22.85546875" style="586" customWidth="1"/>
    <col min="16139" max="16142" width="20.28515625" style="586" customWidth="1"/>
    <col min="16143" max="16150" width="18.28515625" style="586" customWidth="1"/>
    <col min="16151" max="16154" width="20.5703125" style="586" customWidth="1"/>
    <col min="16155" max="16155" width="20.28515625" style="586" customWidth="1"/>
    <col min="16156" max="16156" width="25.42578125" style="586" customWidth="1"/>
    <col min="16157" max="16157" width="18" style="586" customWidth="1"/>
    <col min="16158" max="16159" width="19.140625" style="586" customWidth="1"/>
    <col min="16160" max="16160" width="18" style="586" customWidth="1"/>
    <col min="16161" max="16162" width="20.140625" style="586" customWidth="1"/>
    <col min="16163" max="16164" width="18.42578125" style="586" customWidth="1"/>
    <col min="16165" max="16165" width="17.28515625" style="586" customWidth="1"/>
    <col min="16166" max="16166" width="17.140625" style="586" customWidth="1"/>
    <col min="16167" max="16167" width="20.42578125" style="586" customWidth="1"/>
    <col min="16168" max="16170" width="17.140625" style="586" customWidth="1"/>
    <col min="16171" max="16171" width="19.7109375" style="586" customWidth="1"/>
    <col min="16172" max="16174" width="19" style="586" customWidth="1"/>
    <col min="16175" max="16175" width="21" style="586" customWidth="1"/>
    <col min="16176" max="16178" width="19.42578125" style="586" customWidth="1"/>
    <col min="16179" max="16179" width="21" style="586" customWidth="1"/>
    <col min="16180" max="16182" width="19.42578125" style="586" customWidth="1"/>
    <col min="16183" max="16183" width="21" style="586" customWidth="1"/>
    <col min="16184" max="16190" width="19.42578125" style="586" customWidth="1"/>
    <col min="16191" max="16191" width="21.42578125" style="586" customWidth="1"/>
    <col min="16192" max="16192" width="21" style="586" customWidth="1"/>
    <col min="16193" max="16193" width="22.140625" style="586" customWidth="1"/>
    <col min="16194" max="16194" width="21.7109375" style="586" customWidth="1"/>
    <col min="16195" max="16195" width="21.140625" style="586" customWidth="1"/>
    <col min="16196" max="16196" width="20.7109375" style="586" customWidth="1"/>
    <col min="16197" max="16198" width="19.42578125" style="586" customWidth="1"/>
    <col min="16199" max="16199" width="21.42578125" style="586" customWidth="1"/>
    <col min="16200" max="16214" width="19.42578125" style="586" customWidth="1"/>
    <col min="16215" max="16215" width="21.7109375" style="586" customWidth="1"/>
    <col min="16216" max="16226" width="19.42578125" style="586" customWidth="1"/>
    <col min="16227" max="16227" width="20.85546875" style="586" customWidth="1"/>
    <col min="16228" max="16230" width="20" style="586" customWidth="1"/>
    <col min="16231" max="16231" width="20.85546875" style="586" customWidth="1"/>
    <col min="16232" max="16234" width="20" style="586" customWidth="1"/>
    <col min="16235" max="16235" width="20.85546875" style="586" customWidth="1"/>
    <col min="16236" max="16238" width="20" style="586" customWidth="1"/>
    <col min="16239" max="16239" width="20.85546875" style="586" customWidth="1"/>
    <col min="16240" max="16242" width="20" style="586" customWidth="1"/>
    <col min="16243" max="16243" width="20.85546875" style="586" customWidth="1"/>
    <col min="16244" max="16246" width="20" style="586" customWidth="1"/>
    <col min="16247" max="16247" width="20.85546875" style="586" customWidth="1"/>
    <col min="16248" max="16250" width="20" style="586" customWidth="1"/>
    <col min="16251" max="16251" width="20.85546875" style="586" customWidth="1"/>
    <col min="16252" max="16254" width="20" style="586" customWidth="1"/>
    <col min="16255" max="16255" width="20.85546875" style="586" customWidth="1"/>
    <col min="16256" max="16258" width="20" style="586" customWidth="1"/>
    <col min="16259" max="16259" width="20.28515625" style="586" customWidth="1"/>
    <col min="16260" max="16260" width="25.42578125" style="586" customWidth="1"/>
    <col min="16261" max="16261" width="18" style="586" customWidth="1"/>
    <col min="16262" max="16262" width="19.140625" style="586" customWidth="1"/>
    <col min="16263" max="16263" width="21.85546875" style="586" customWidth="1"/>
    <col min="16264" max="16265" width="25.28515625" style="586" customWidth="1"/>
    <col min="16266" max="16266" width="24.42578125" style="586" customWidth="1"/>
    <col min="16267" max="16267" width="36.42578125" style="586" customWidth="1"/>
    <col min="16268" max="16268" width="11.42578125" style="586"/>
    <col min="16269" max="16269" width="19.7109375" style="586" bestFit="1" customWidth="1"/>
    <col min="16270" max="16384" width="11.42578125" style="586"/>
  </cols>
  <sheetData>
    <row r="1" spans="1:142" ht="28.5" customHeight="1" thickTop="1" thickBot="1" x14ac:dyDescent="0.3">
      <c r="A1" s="997" t="s">
        <v>1450</v>
      </c>
      <c r="B1" s="807"/>
      <c r="C1" s="999" t="s">
        <v>2101</v>
      </c>
      <c r="D1" s="1000"/>
      <c r="E1" s="1000"/>
      <c r="F1" s="1000"/>
      <c r="G1" s="999" t="s">
        <v>2105</v>
      </c>
      <c r="H1" s="1000"/>
      <c r="I1" s="1000"/>
      <c r="J1" s="1000"/>
      <c r="K1" s="999" t="s">
        <v>2106</v>
      </c>
      <c r="L1" s="1000"/>
      <c r="M1" s="1000"/>
      <c r="N1" s="1000"/>
      <c r="O1" s="999" t="s">
        <v>2135</v>
      </c>
      <c r="P1" s="1000"/>
      <c r="Q1" s="1000"/>
      <c r="R1" s="1000"/>
      <c r="S1" s="999" t="s">
        <v>2163</v>
      </c>
      <c r="T1" s="1000"/>
      <c r="U1" s="1000"/>
      <c r="V1" s="1000"/>
      <c r="W1" s="999" t="s">
        <v>2336</v>
      </c>
      <c r="X1" s="1000"/>
      <c r="Y1" s="1000"/>
      <c r="Z1" s="1000"/>
      <c r="AA1" s="999" t="s">
        <v>2394</v>
      </c>
      <c r="AB1" s="1000"/>
      <c r="AC1" s="1000"/>
      <c r="AD1" s="1000"/>
      <c r="AE1" s="999" t="s">
        <v>2088</v>
      </c>
      <c r="AF1" s="1000"/>
      <c r="AG1" s="1000"/>
      <c r="AH1" s="1000"/>
      <c r="AI1" s="999" t="s">
        <v>2089</v>
      </c>
      <c r="AJ1" s="1000"/>
      <c r="AK1" s="1000"/>
      <c r="AL1" s="1000"/>
      <c r="AM1" s="999" t="s">
        <v>2109</v>
      </c>
      <c r="AN1" s="1000"/>
      <c r="AO1" s="1000"/>
      <c r="AP1" s="1000"/>
      <c r="AQ1" s="999" t="s">
        <v>2110</v>
      </c>
      <c r="AR1" s="1000"/>
      <c r="AS1" s="1000"/>
      <c r="AT1" s="1000"/>
      <c r="AU1" s="999" t="s">
        <v>2162</v>
      </c>
      <c r="AV1" s="1000"/>
      <c r="AW1" s="1000"/>
      <c r="AX1" s="1000"/>
      <c r="AY1" s="999" t="s">
        <v>2332</v>
      </c>
      <c r="AZ1" s="1000"/>
      <c r="BA1" s="1000"/>
      <c r="BB1" s="1000"/>
      <c r="BC1" s="999" t="s">
        <v>1379</v>
      </c>
      <c r="BD1" s="1000"/>
      <c r="BE1" s="1000"/>
      <c r="BF1" s="1000"/>
      <c r="BG1" s="999" t="s">
        <v>2126</v>
      </c>
      <c r="BH1" s="1000"/>
      <c r="BI1" s="1000"/>
      <c r="BJ1" s="1000"/>
      <c r="BK1" s="999" t="s">
        <v>2562</v>
      </c>
      <c r="BL1" s="1000"/>
      <c r="BM1" s="1000"/>
      <c r="BN1" s="1000"/>
      <c r="BO1" s="999" t="s">
        <v>2118</v>
      </c>
      <c r="BP1" s="1000"/>
      <c r="BQ1" s="1000"/>
      <c r="BR1" s="1000"/>
      <c r="BS1" s="999" t="s">
        <v>2119</v>
      </c>
      <c r="BT1" s="1000"/>
      <c r="BU1" s="1000"/>
      <c r="BV1" s="1000"/>
      <c r="BW1" s="999" t="s">
        <v>2334</v>
      </c>
      <c r="BX1" s="1000"/>
      <c r="BY1" s="1000"/>
      <c r="BZ1" s="1000"/>
      <c r="CA1" s="999" t="s">
        <v>2113</v>
      </c>
      <c r="CB1" s="1000"/>
      <c r="CC1" s="1000"/>
      <c r="CD1" s="1000"/>
      <c r="CE1" s="999" t="s">
        <v>2114</v>
      </c>
      <c r="CF1" s="1000"/>
      <c r="CG1" s="1000"/>
      <c r="CH1" s="1000"/>
      <c r="CI1" s="999" t="s">
        <v>2333</v>
      </c>
      <c r="CJ1" s="1000"/>
      <c r="CK1" s="1000"/>
      <c r="CL1" s="1000"/>
      <c r="CM1" s="999" t="s">
        <v>2074</v>
      </c>
      <c r="CN1" s="1000"/>
      <c r="CO1" s="1000"/>
      <c r="CP1" s="1000"/>
      <c r="CQ1" s="999" t="s">
        <v>2075</v>
      </c>
      <c r="CR1" s="1000"/>
      <c r="CS1" s="1000"/>
      <c r="CT1" s="1000"/>
      <c r="CU1" s="999" t="s">
        <v>2079</v>
      </c>
      <c r="CV1" s="1000"/>
      <c r="CW1" s="1000"/>
      <c r="CX1" s="1000"/>
      <c r="CY1" s="999" t="s">
        <v>2216</v>
      </c>
      <c r="CZ1" s="1000"/>
      <c r="DA1" s="1000"/>
      <c r="DB1" s="1001"/>
      <c r="DC1" s="999" t="s">
        <v>2217</v>
      </c>
      <c r="DD1" s="1000"/>
      <c r="DE1" s="1000"/>
      <c r="DF1" s="1001"/>
      <c r="DG1" s="999" t="s">
        <v>2161</v>
      </c>
      <c r="DH1" s="1000"/>
      <c r="DI1" s="1000"/>
      <c r="DJ1" s="1001"/>
      <c r="DK1" s="999" t="s">
        <v>2324</v>
      </c>
      <c r="DL1" s="1000"/>
      <c r="DM1" s="1000"/>
      <c r="DN1" s="1001"/>
      <c r="DO1" s="999" t="s">
        <v>2223</v>
      </c>
      <c r="DP1" s="1000"/>
      <c r="DQ1" s="1000"/>
      <c r="DR1" s="1001"/>
      <c r="DS1" s="999" t="s">
        <v>2563</v>
      </c>
      <c r="DT1" s="1000"/>
      <c r="DU1" s="1000"/>
      <c r="DV1" s="1000"/>
      <c r="DW1" s="999" t="s">
        <v>2564</v>
      </c>
      <c r="DX1" s="1000"/>
      <c r="DY1" s="1000"/>
      <c r="DZ1" s="1000"/>
      <c r="EA1" s="999" t="s">
        <v>2165</v>
      </c>
      <c r="EB1" s="1000"/>
      <c r="EC1" s="1000"/>
      <c r="ED1" s="1000"/>
      <c r="EE1" s="992" t="s">
        <v>1406</v>
      </c>
      <c r="EF1" s="1002"/>
      <c r="EG1" s="1002"/>
      <c r="EH1" s="1003"/>
      <c r="EI1" s="719" t="s">
        <v>1407</v>
      </c>
    </row>
    <row r="2" spans="1:142" ht="35.25" thickTop="1" thickBot="1" x14ac:dyDescent="0.3">
      <c r="A2" s="998"/>
      <c r="B2" s="808" t="s">
        <v>2565</v>
      </c>
      <c r="C2" s="720" t="s">
        <v>1408</v>
      </c>
      <c r="D2" s="805" t="s">
        <v>1409</v>
      </c>
      <c r="E2" s="805" t="s">
        <v>1410</v>
      </c>
      <c r="F2" s="805" t="s">
        <v>1411</v>
      </c>
      <c r="G2" s="720" t="s">
        <v>1408</v>
      </c>
      <c r="H2" s="805" t="s">
        <v>1409</v>
      </c>
      <c r="I2" s="805" t="s">
        <v>1410</v>
      </c>
      <c r="J2" s="805" t="s">
        <v>1411</v>
      </c>
      <c r="K2" s="720" t="s">
        <v>1408</v>
      </c>
      <c r="L2" s="805" t="s">
        <v>1409</v>
      </c>
      <c r="M2" s="805" t="s">
        <v>1410</v>
      </c>
      <c r="N2" s="805" t="s">
        <v>1411</v>
      </c>
      <c r="O2" s="720" t="s">
        <v>1408</v>
      </c>
      <c r="P2" s="805" t="s">
        <v>1409</v>
      </c>
      <c r="Q2" s="805" t="s">
        <v>1410</v>
      </c>
      <c r="R2" s="805" t="s">
        <v>1411</v>
      </c>
      <c r="S2" s="720" t="s">
        <v>1408</v>
      </c>
      <c r="T2" s="805" t="s">
        <v>1409</v>
      </c>
      <c r="U2" s="805" t="s">
        <v>1410</v>
      </c>
      <c r="V2" s="805" t="s">
        <v>1411</v>
      </c>
      <c r="W2" s="720" t="s">
        <v>1408</v>
      </c>
      <c r="X2" s="805" t="s">
        <v>1409</v>
      </c>
      <c r="Y2" s="805" t="s">
        <v>1410</v>
      </c>
      <c r="Z2" s="805" t="s">
        <v>1411</v>
      </c>
      <c r="AA2" s="720" t="s">
        <v>1408</v>
      </c>
      <c r="AB2" s="805">
        <v>572698071</v>
      </c>
      <c r="AC2" s="805" t="s">
        <v>1410</v>
      </c>
      <c r="AD2" s="805" t="s">
        <v>1411</v>
      </c>
      <c r="AE2" s="720" t="s">
        <v>1408</v>
      </c>
      <c r="AF2" s="805" t="s">
        <v>1409</v>
      </c>
      <c r="AG2" s="805" t="s">
        <v>1410</v>
      </c>
      <c r="AH2" s="805" t="s">
        <v>1411</v>
      </c>
      <c r="AI2" s="720" t="s">
        <v>1408</v>
      </c>
      <c r="AJ2" s="805" t="s">
        <v>1409</v>
      </c>
      <c r="AK2" s="805" t="s">
        <v>1410</v>
      </c>
      <c r="AL2" s="805" t="s">
        <v>1411</v>
      </c>
      <c r="AM2" s="720" t="s">
        <v>1408</v>
      </c>
      <c r="AN2" s="805" t="s">
        <v>1409</v>
      </c>
      <c r="AO2" s="805" t="s">
        <v>1410</v>
      </c>
      <c r="AP2" s="805" t="s">
        <v>1411</v>
      </c>
      <c r="AQ2" s="720" t="s">
        <v>1408</v>
      </c>
      <c r="AR2" s="805" t="s">
        <v>1409</v>
      </c>
      <c r="AS2" s="805" t="s">
        <v>1410</v>
      </c>
      <c r="AT2" s="805" t="s">
        <v>1411</v>
      </c>
      <c r="AU2" s="720" t="s">
        <v>1408</v>
      </c>
      <c r="AV2" s="805" t="s">
        <v>1409</v>
      </c>
      <c r="AW2" s="805" t="s">
        <v>1410</v>
      </c>
      <c r="AX2" s="805" t="s">
        <v>1411</v>
      </c>
      <c r="AY2" s="720" t="s">
        <v>1408</v>
      </c>
      <c r="AZ2" s="805" t="s">
        <v>1409</v>
      </c>
      <c r="BA2" s="805" t="s">
        <v>1410</v>
      </c>
      <c r="BB2" s="805" t="s">
        <v>1411</v>
      </c>
      <c r="BC2" s="720" t="s">
        <v>1408</v>
      </c>
      <c r="BD2" s="805" t="s">
        <v>1409</v>
      </c>
      <c r="BE2" s="805" t="s">
        <v>1410</v>
      </c>
      <c r="BF2" s="805" t="s">
        <v>1411</v>
      </c>
      <c r="BG2" s="720" t="s">
        <v>1408</v>
      </c>
      <c r="BH2" s="805" t="s">
        <v>1409</v>
      </c>
      <c r="BI2" s="805" t="s">
        <v>1410</v>
      </c>
      <c r="BJ2" s="805" t="s">
        <v>1411</v>
      </c>
      <c r="BK2" s="720" t="s">
        <v>1408</v>
      </c>
      <c r="BL2" s="805" t="s">
        <v>1409</v>
      </c>
      <c r="BM2" s="805" t="s">
        <v>1410</v>
      </c>
      <c r="BN2" s="805" t="s">
        <v>1411</v>
      </c>
      <c r="BO2" s="720" t="s">
        <v>1408</v>
      </c>
      <c r="BP2" s="805" t="s">
        <v>1409</v>
      </c>
      <c r="BQ2" s="805" t="s">
        <v>1410</v>
      </c>
      <c r="BR2" s="805" t="s">
        <v>1411</v>
      </c>
      <c r="BS2" s="720" t="s">
        <v>1408</v>
      </c>
      <c r="BT2" s="805" t="s">
        <v>1409</v>
      </c>
      <c r="BU2" s="805" t="s">
        <v>1410</v>
      </c>
      <c r="BV2" s="805" t="s">
        <v>1411</v>
      </c>
      <c r="BW2" s="720" t="s">
        <v>1408</v>
      </c>
      <c r="BX2" s="805" t="s">
        <v>1409</v>
      </c>
      <c r="BY2" s="805" t="s">
        <v>1410</v>
      </c>
      <c r="BZ2" s="805" t="s">
        <v>1411</v>
      </c>
      <c r="CA2" s="720" t="s">
        <v>1408</v>
      </c>
      <c r="CB2" s="805" t="s">
        <v>1409</v>
      </c>
      <c r="CC2" s="805" t="s">
        <v>1410</v>
      </c>
      <c r="CD2" s="805" t="s">
        <v>1411</v>
      </c>
      <c r="CE2" s="720" t="s">
        <v>1408</v>
      </c>
      <c r="CF2" s="805" t="s">
        <v>1409</v>
      </c>
      <c r="CG2" s="805" t="s">
        <v>1410</v>
      </c>
      <c r="CH2" s="805" t="s">
        <v>1411</v>
      </c>
      <c r="CI2" s="720" t="s">
        <v>1408</v>
      </c>
      <c r="CJ2" s="805" t="s">
        <v>1409</v>
      </c>
      <c r="CK2" s="805" t="s">
        <v>1410</v>
      </c>
      <c r="CL2" s="805" t="s">
        <v>1411</v>
      </c>
      <c r="CM2" s="720" t="s">
        <v>1408</v>
      </c>
      <c r="CN2" s="805" t="s">
        <v>1409</v>
      </c>
      <c r="CO2" s="805" t="s">
        <v>1410</v>
      </c>
      <c r="CP2" s="805" t="s">
        <v>1411</v>
      </c>
      <c r="CQ2" s="720" t="s">
        <v>1408</v>
      </c>
      <c r="CR2" s="805" t="s">
        <v>1409</v>
      </c>
      <c r="CS2" s="805" t="s">
        <v>1410</v>
      </c>
      <c r="CT2" s="805" t="s">
        <v>1411</v>
      </c>
      <c r="CU2" s="720" t="s">
        <v>1408</v>
      </c>
      <c r="CV2" s="805" t="s">
        <v>1409</v>
      </c>
      <c r="CW2" s="805" t="s">
        <v>1410</v>
      </c>
      <c r="CX2" s="805" t="s">
        <v>1411</v>
      </c>
      <c r="CY2" s="720" t="s">
        <v>1408</v>
      </c>
      <c r="CZ2" s="805" t="s">
        <v>1409</v>
      </c>
      <c r="DA2" s="805" t="s">
        <v>1410</v>
      </c>
      <c r="DB2" s="805" t="s">
        <v>1411</v>
      </c>
      <c r="DC2" s="720" t="s">
        <v>1408</v>
      </c>
      <c r="DD2" s="805" t="s">
        <v>1409</v>
      </c>
      <c r="DE2" s="805" t="s">
        <v>1410</v>
      </c>
      <c r="DF2" s="805" t="s">
        <v>1411</v>
      </c>
      <c r="DG2" s="720" t="s">
        <v>1408</v>
      </c>
      <c r="DH2" s="805" t="s">
        <v>1409</v>
      </c>
      <c r="DI2" s="805" t="s">
        <v>1410</v>
      </c>
      <c r="DJ2" s="805" t="s">
        <v>1411</v>
      </c>
      <c r="DK2" s="720" t="s">
        <v>1408</v>
      </c>
      <c r="DL2" s="805" t="s">
        <v>1409</v>
      </c>
      <c r="DM2" s="805" t="s">
        <v>1410</v>
      </c>
      <c r="DN2" s="805" t="s">
        <v>1411</v>
      </c>
      <c r="DO2" s="720" t="s">
        <v>1408</v>
      </c>
      <c r="DP2" s="805" t="s">
        <v>1409</v>
      </c>
      <c r="DQ2" s="805" t="s">
        <v>1410</v>
      </c>
      <c r="DR2" s="805" t="s">
        <v>1411</v>
      </c>
      <c r="DS2" s="720" t="s">
        <v>1408</v>
      </c>
      <c r="DT2" s="805" t="s">
        <v>1409</v>
      </c>
      <c r="DU2" s="805" t="s">
        <v>1410</v>
      </c>
      <c r="DV2" s="805" t="s">
        <v>1411</v>
      </c>
      <c r="DW2" s="720" t="s">
        <v>1408</v>
      </c>
      <c r="DX2" s="805" t="s">
        <v>1409</v>
      </c>
      <c r="DY2" s="805" t="s">
        <v>1410</v>
      </c>
      <c r="DZ2" s="805" t="s">
        <v>1411</v>
      </c>
      <c r="EA2" s="720" t="s">
        <v>1408</v>
      </c>
      <c r="EB2" s="805" t="s">
        <v>1409</v>
      </c>
      <c r="EC2" s="805" t="s">
        <v>1410</v>
      </c>
      <c r="ED2" s="805" t="s">
        <v>1411</v>
      </c>
      <c r="EE2" s="805" t="s">
        <v>1408</v>
      </c>
      <c r="EF2" s="805" t="s">
        <v>1409</v>
      </c>
      <c r="EG2" s="805" t="s">
        <v>1410</v>
      </c>
      <c r="EH2" s="805" t="s">
        <v>1412</v>
      </c>
      <c r="EI2" s="805"/>
    </row>
    <row r="3" spans="1:142" s="812" customFormat="1" ht="31.5" customHeight="1" thickTop="1" thickBot="1" x14ac:dyDescent="0.3">
      <c r="A3" s="809" t="s">
        <v>2566</v>
      </c>
      <c r="B3" s="810">
        <f t="shared" ref="B3:BM3" si="0">+B4+B14+B82+B96+B97+B98</f>
        <v>186529074082</v>
      </c>
      <c r="C3" s="810">
        <f t="shared" si="0"/>
        <v>876906432</v>
      </c>
      <c r="D3" s="810">
        <f t="shared" si="0"/>
        <v>493026593</v>
      </c>
      <c r="E3" s="810">
        <f t="shared" si="0"/>
        <v>243200000</v>
      </c>
      <c r="F3" s="810">
        <f t="shared" si="0"/>
        <v>243200000</v>
      </c>
      <c r="G3" s="810">
        <f t="shared" si="0"/>
        <v>56411629</v>
      </c>
      <c r="H3" s="810">
        <f t="shared" si="0"/>
        <v>0</v>
      </c>
      <c r="I3" s="810">
        <f t="shared" si="0"/>
        <v>0</v>
      </c>
      <c r="J3" s="810">
        <f t="shared" si="0"/>
        <v>0</v>
      </c>
      <c r="K3" s="810">
        <f t="shared" si="0"/>
        <v>36008757</v>
      </c>
      <c r="L3" s="810">
        <f t="shared" si="0"/>
        <v>0</v>
      </c>
      <c r="M3" s="810">
        <f t="shared" si="0"/>
        <v>0</v>
      </c>
      <c r="N3" s="810">
        <f t="shared" si="0"/>
        <v>0</v>
      </c>
      <c r="O3" s="810">
        <f t="shared" si="0"/>
        <v>1633680</v>
      </c>
      <c r="P3" s="810">
        <f t="shared" si="0"/>
        <v>0</v>
      </c>
      <c r="Q3" s="810">
        <f t="shared" si="0"/>
        <v>0</v>
      </c>
      <c r="R3" s="810">
        <f t="shared" si="0"/>
        <v>0</v>
      </c>
      <c r="S3" s="810">
        <f t="shared" si="0"/>
        <v>31197109</v>
      </c>
      <c r="T3" s="810">
        <f t="shared" si="0"/>
        <v>0</v>
      </c>
      <c r="U3" s="810">
        <f t="shared" si="0"/>
        <v>0</v>
      </c>
      <c r="V3" s="810">
        <f t="shared" si="0"/>
        <v>0</v>
      </c>
      <c r="W3" s="810">
        <f t="shared" si="0"/>
        <v>54219081</v>
      </c>
      <c r="X3" s="810">
        <f t="shared" si="0"/>
        <v>0</v>
      </c>
      <c r="Y3" s="810">
        <f t="shared" si="0"/>
        <v>0</v>
      </c>
      <c r="Z3" s="810">
        <f t="shared" si="0"/>
        <v>0</v>
      </c>
      <c r="AA3" s="810">
        <f t="shared" si="0"/>
        <v>595498071</v>
      </c>
      <c r="AB3" s="810">
        <f t="shared" si="0"/>
        <v>488316167</v>
      </c>
      <c r="AC3" s="810">
        <f t="shared" si="0"/>
        <v>240276858</v>
      </c>
      <c r="AD3" s="810">
        <f t="shared" si="0"/>
        <v>240276858</v>
      </c>
      <c r="AE3" s="810">
        <f t="shared" si="0"/>
        <v>893411750</v>
      </c>
      <c r="AF3" s="810">
        <f t="shared" si="0"/>
        <v>313302322</v>
      </c>
      <c r="AG3" s="810">
        <f t="shared" si="0"/>
        <v>175282000</v>
      </c>
      <c r="AH3" s="810">
        <f t="shared" si="0"/>
        <v>175282000</v>
      </c>
      <c r="AI3" s="810">
        <f t="shared" si="0"/>
        <v>1740075678</v>
      </c>
      <c r="AJ3" s="810">
        <f t="shared" si="0"/>
        <v>1740075678</v>
      </c>
      <c r="AK3" s="810">
        <f t="shared" si="0"/>
        <v>851407000</v>
      </c>
      <c r="AL3" s="810">
        <f t="shared" si="0"/>
        <v>851407000</v>
      </c>
      <c r="AM3" s="810">
        <f t="shared" si="0"/>
        <v>571639809</v>
      </c>
      <c r="AN3" s="810">
        <f t="shared" si="0"/>
        <v>569704130</v>
      </c>
      <c r="AO3" s="810">
        <f t="shared" si="0"/>
        <v>569704130</v>
      </c>
      <c r="AP3" s="810">
        <f t="shared" si="0"/>
        <v>569704130</v>
      </c>
      <c r="AQ3" s="810">
        <f t="shared" si="0"/>
        <v>4185349680</v>
      </c>
      <c r="AR3" s="810">
        <f t="shared" si="0"/>
        <v>1399351584</v>
      </c>
      <c r="AS3" s="810">
        <f t="shared" si="0"/>
        <v>593630000</v>
      </c>
      <c r="AT3" s="810">
        <f t="shared" si="0"/>
        <v>593630000</v>
      </c>
      <c r="AU3" s="897">
        <f t="shared" si="0"/>
        <v>30823104</v>
      </c>
      <c r="AV3" s="810">
        <f t="shared" si="0"/>
        <v>0</v>
      </c>
      <c r="AW3" s="810">
        <f t="shared" si="0"/>
        <v>0</v>
      </c>
      <c r="AX3" s="810">
        <f t="shared" si="0"/>
        <v>0</v>
      </c>
      <c r="AY3" s="810">
        <f t="shared" si="0"/>
        <v>1062809</v>
      </c>
      <c r="AZ3" s="810">
        <f t="shared" si="0"/>
        <v>0</v>
      </c>
      <c r="BA3" s="810">
        <f t="shared" si="0"/>
        <v>0</v>
      </c>
      <c r="BB3" s="810">
        <f t="shared" si="0"/>
        <v>0</v>
      </c>
      <c r="BC3" s="810">
        <f t="shared" si="0"/>
        <v>79057608517</v>
      </c>
      <c r="BD3" s="810">
        <f t="shared" si="0"/>
        <v>78932170681</v>
      </c>
      <c r="BE3" s="810">
        <f t="shared" si="0"/>
        <v>65699767403</v>
      </c>
      <c r="BF3" s="810">
        <f t="shared" si="0"/>
        <v>65699767403</v>
      </c>
      <c r="BG3" s="810">
        <f t="shared" si="0"/>
        <v>13913780326</v>
      </c>
      <c r="BH3" s="810">
        <f t="shared" si="0"/>
        <v>13879107289</v>
      </c>
      <c r="BI3" s="810">
        <f t="shared" si="0"/>
        <v>13653086690</v>
      </c>
      <c r="BJ3" s="810">
        <f t="shared" si="0"/>
        <v>11717911279</v>
      </c>
      <c r="BK3" s="810">
        <f t="shared" si="0"/>
        <v>44606000000</v>
      </c>
      <c r="BL3" s="810">
        <f t="shared" si="0"/>
        <v>42900000000</v>
      </c>
      <c r="BM3" s="810">
        <f t="shared" si="0"/>
        <v>0</v>
      </c>
      <c r="BN3" s="810">
        <f t="shared" ref="BN3:BY3" si="1">+BN4+BN14+BN82+BN96+BN97+BN98</f>
        <v>0</v>
      </c>
      <c r="BO3" s="810">
        <f t="shared" si="1"/>
        <v>18495872</v>
      </c>
      <c r="BP3" s="810">
        <f t="shared" si="1"/>
        <v>0</v>
      </c>
      <c r="BQ3" s="810">
        <f t="shared" si="1"/>
        <v>0</v>
      </c>
      <c r="BR3" s="810">
        <f t="shared" si="1"/>
        <v>0</v>
      </c>
      <c r="BS3" s="810">
        <f t="shared" si="1"/>
        <v>13902435</v>
      </c>
      <c r="BT3" s="810">
        <f t="shared" si="1"/>
        <v>13902435</v>
      </c>
      <c r="BU3" s="810">
        <f t="shared" si="1"/>
        <v>13902435</v>
      </c>
      <c r="BV3" s="810">
        <f t="shared" si="1"/>
        <v>13902435</v>
      </c>
      <c r="BW3" s="810">
        <f t="shared" si="1"/>
        <v>27005</v>
      </c>
      <c r="BX3" s="810">
        <f t="shared" si="1"/>
        <v>0</v>
      </c>
      <c r="BY3" s="810">
        <f t="shared" si="1"/>
        <v>0</v>
      </c>
      <c r="BZ3" s="810"/>
      <c r="CA3" s="810">
        <f t="shared" ref="CA3:CK3" si="2">+CA4+CA14+CA82+CA96+CA97+CA98</f>
        <v>2602344269</v>
      </c>
      <c r="CB3" s="810">
        <f t="shared" si="2"/>
        <v>293700000</v>
      </c>
      <c r="CC3" s="810">
        <f t="shared" si="2"/>
        <v>293700000</v>
      </c>
      <c r="CD3" s="810">
        <f t="shared" si="2"/>
        <v>293700000</v>
      </c>
      <c r="CE3" s="810">
        <f t="shared" si="2"/>
        <v>2919817193</v>
      </c>
      <c r="CF3" s="810">
        <f t="shared" si="2"/>
        <v>891623003</v>
      </c>
      <c r="CG3" s="810">
        <f t="shared" si="2"/>
        <v>831623003</v>
      </c>
      <c r="CH3" s="810">
        <f t="shared" si="2"/>
        <v>831623003</v>
      </c>
      <c r="CI3" s="810">
        <f t="shared" si="2"/>
        <v>6452718</v>
      </c>
      <c r="CJ3" s="810">
        <f t="shared" si="2"/>
        <v>0</v>
      </c>
      <c r="CK3" s="810">
        <f t="shared" si="2"/>
        <v>0</v>
      </c>
      <c r="CL3" s="810"/>
      <c r="CM3" s="810">
        <f t="shared" ref="CM3:ED3" si="3">+CM4+CM14+CM82+CM96+CM97+CM98</f>
        <v>11259732783</v>
      </c>
      <c r="CN3" s="810">
        <f t="shared" si="3"/>
        <v>8323889806</v>
      </c>
      <c r="CO3" s="810">
        <f t="shared" si="3"/>
        <v>6250252301</v>
      </c>
      <c r="CP3" s="810">
        <f t="shared" si="3"/>
        <v>6250012301</v>
      </c>
      <c r="CQ3" s="810">
        <f t="shared" si="3"/>
        <v>5384680776</v>
      </c>
      <c r="CR3" s="810">
        <f t="shared" si="3"/>
        <v>2733820244</v>
      </c>
      <c r="CS3" s="810">
        <f t="shared" si="3"/>
        <v>2582426051</v>
      </c>
      <c r="CT3" s="810">
        <f t="shared" si="3"/>
        <v>2580426051</v>
      </c>
      <c r="CU3" s="810">
        <f t="shared" si="3"/>
        <v>22897665</v>
      </c>
      <c r="CV3" s="810">
        <f t="shared" si="3"/>
        <v>15282796</v>
      </c>
      <c r="CW3" s="810">
        <f t="shared" si="3"/>
        <v>15282796</v>
      </c>
      <c r="CX3" s="810">
        <f t="shared" si="3"/>
        <v>15282796</v>
      </c>
      <c r="CY3" s="810">
        <f t="shared" si="3"/>
        <v>621763391</v>
      </c>
      <c r="CZ3" s="810">
        <f t="shared" si="3"/>
        <v>586115772</v>
      </c>
      <c r="DA3" s="810">
        <f t="shared" si="3"/>
        <v>243393157</v>
      </c>
      <c r="DB3" s="810">
        <f t="shared" si="3"/>
        <v>243393157</v>
      </c>
      <c r="DC3" s="810">
        <f t="shared" si="3"/>
        <v>90000000</v>
      </c>
      <c r="DD3" s="810">
        <f t="shared" si="3"/>
        <v>82822518</v>
      </c>
      <c r="DE3" s="810">
        <f t="shared" si="3"/>
        <v>12822518</v>
      </c>
      <c r="DF3" s="810">
        <f t="shared" si="3"/>
        <v>12582518</v>
      </c>
      <c r="DG3" s="810">
        <f t="shared" si="3"/>
        <v>47346000</v>
      </c>
      <c r="DH3" s="810">
        <f t="shared" si="3"/>
        <v>0</v>
      </c>
      <c r="DI3" s="810">
        <f t="shared" si="3"/>
        <v>0</v>
      </c>
      <c r="DJ3" s="810">
        <f t="shared" si="3"/>
        <v>0</v>
      </c>
      <c r="DK3" s="810">
        <f t="shared" si="3"/>
        <v>32157524</v>
      </c>
      <c r="DL3" s="810">
        <f t="shared" si="3"/>
        <v>4000000</v>
      </c>
      <c r="DM3" s="810">
        <f t="shared" si="3"/>
        <v>4000000</v>
      </c>
      <c r="DN3" s="810">
        <f t="shared" si="3"/>
        <v>4000000</v>
      </c>
      <c r="DO3" s="810">
        <f t="shared" si="3"/>
        <v>16850643358</v>
      </c>
      <c r="DP3" s="810">
        <f t="shared" si="3"/>
        <v>16761974801</v>
      </c>
      <c r="DQ3" s="810">
        <f t="shared" si="3"/>
        <v>542910205</v>
      </c>
      <c r="DR3" s="810">
        <f t="shared" si="3"/>
        <v>542910205</v>
      </c>
      <c r="DS3" s="810">
        <f t="shared" si="3"/>
        <v>252000</v>
      </c>
      <c r="DT3" s="810">
        <f t="shared" si="3"/>
        <v>0</v>
      </c>
      <c r="DU3" s="810">
        <f t="shared" si="3"/>
        <v>0</v>
      </c>
      <c r="DV3" s="810">
        <f t="shared" si="3"/>
        <v>0</v>
      </c>
      <c r="DW3" s="810">
        <f t="shared" si="3"/>
        <v>540062</v>
      </c>
      <c r="DX3" s="810">
        <f t="shared" si="3"/>
        <v>0</v>
      </c>
      <c r="DY3" s="810">
        <f t="shared" si="3"/>
        <v>0</v>
      </c>
      <c r="DZ3" s="810">
        <f t="shared" si="3"/>
        <v>0</v>
      </c>
      <c r="EA3" s="810">
        <f t="shared" si="3"/>
        <v>6394599</v>
      </c>
      <c r="EB3" s="810">
        <f t="shared" si="3"/>
        <v>0</v>
      </c>
      <c r="EC3" s="810">
        <f t="shared" si="3"/>
        <v>0</v>
      </c>
      <c r="ED3" s="810">
        <f t="shared" si="3"/>
        <v>0</v>
      </c>
      <c r="EE3" s="810">
        <f>+C3+G3+K3+O3+S3+W3+AA3+AE3+AI3+AM3+AQ3+AU3+AY3+BC3+BG3+BK3+BO3+BS3+BW3+CA3+CE3+CI3+CM3+CQ3+CU3+CY3+DC3+DG3+DK3+DO3+EA3+DS3+DW3</f>
        <v>186529074082</v>
      </c>
      <c r="EF3" s="810">
        <f>+D3+H3+L3+P3+T3+X3+AB3+AF3+AJ3+AN3+AR3+AV3+AZ3+BD3+BH3+BL3+BP3+BT3+BX3+CB3+CF3+CJ3+CN3+CR3+CV3+CZ3+DD3+DH3+DL3+DP3+EB3+DT3+DX3</f>
        <v>170422185819</v>
      </c>
      <c r="EG3" s="810">
        <f>+E3+I3+M3+Q3+U3+Y3+AC3+AG3+AK3+AO3+AS3+AW3+BA3+BE3+BI3+BM3+BQ3+BU3+BY3+CC3+CG3+CK3+CO3+CS3+CW3+DA3+DE3+DI3+DM3+DQ3+EC3+DU3+DY3</f>
        <v>92816666547</v>
      </c>
      <c r="EH3" s="810">
        <f>+F3+J3+N3+R3+V3+Z3+AD3+AH3+AL3+AP3+AT3+AX3+BB3+BF3+BJ3+BN3+BR3+BV3+BZ3+CD3+CH3+CL3+CP3+CT3+CX3+DB3+DF3+DJ3+DN3+DR3+ED3+DV3+DZ3</f>
        <v>90879011136</v>
      </c>
      <c r="EI3" s="811">
        <f t="shared" ref="EI3:EI66" si="4">+EE3-B3</f>
        <v>0</v>
      </c>
      <c r="EK3" s="813"/>
    </row>
    <row r="4" spans="1:142" ht="70.5" customHeight="1" thickTop="1" thickBot="1" x14ac:dyDescent="0.3">
      <c r="A4" s="814" t="s">
        <v>2024</v>
      </c>
      <c r="B4" s="815">
        <f>+B5</f>
        <v>6571099166</v>
      </c>
      <c r="C4" s="815">
        <f t="shared" ref="C4:CF4" si="5">+C5</f>
        <v>0</v>
      </c>
      <c r="D4" s="815">
        <f t="shared" si="5"/>
        <v>0</v>
      </c>
      <c r="E4" s="815">
        <f t="shared" si="5"/>
        <v>0</v>
      </c>
      <c r="F4" s="815">
        <f t="shared" si="5"/>
        <v>0</v>
      </c>
      <c r="G4" s="815">
        <f t="shared" si="5"/>
        <v>0</v>
      </c>
      <c r="H4" s="815">
        <f t="shared" si="5"/>
        <v>0</v>
      </c>
      <c r="I4" s="815">
        <f t="shared" si="5"/>
        <v>0</v>
      </c>
      <c r="J4" s="815">
        <f t="shared" si="5"/>
        <v>0</v>
      </c>
      <c r="K4" s="815">
        <f t="shared" si="5"/>
        <v>0</v>
      </c>
      <c r="L4" s="815">
        <f t="shared" si="5"/>
        <v>0</v>
      </c>
      <c r="M4" s="815">
        <f t="shared" si="5"/>
        <v>0</v>
      </c>
      <c r="N4" s="815">
        <f t="shared" si="5"/>
        <v>0</v>
      </c>
      <c r="O4" s="815">
        <f t="shared" si="5"/>
        <v>0</v>
      </c>
      <c r="P4" s="815">
        <f t="shared" si="5"/>
        <v>0</v>
      </c>
      <c r="Q4" s="815">
        <f t="shared" si="5"/>
        <v>0</v>
      </c>
      <c r="R4" s="815">
        <f t="shared" si="5"/>
        <v>0</v>
      </c>
      <c r="S4" s="815">
        <f t="shared" si="5"/>
        <v>0</v>
      </c>
      <c r="T4" s="815">
        <f t="shared" si="5"/>
        <v>0</v>
      </c>
      <c r="U4" s="815">
        <f t="shared" si="5"/>
        <v>0</v>
      </c>
      <c r="V4" s="815">
        <f t="shared" si="5"/>
        <v>0</v>
      </c>
      <c r="W4" s="815">
        <f t="shared" si="5"/>
        <v>0</v>
      </c>
      <c r="X4" s="815">
        <f t="shared" si="5"/>
        <v>0</v>
      </c>
      <c r="Y4" s="815">
        <f t="shared" si="5"/>
        <v>0</v>
      </c>
      <c r="Z4" s="815">
        <f t="shared" si="5"/>
        <v>0</v>
      </c>
      <c r="AA4" s="815">
        <f t="shared" si="5"/>
        <v>0</v>
      </c>
      <c r="AB4" s="815">
        <f t="shared" si="5"/>
        <v>0</v>
      </c>
      <c r="AC4" s="815">
        <f t="shared" si="5"/>
        <v>0</v>
      </c>
      <c r="AD4" s="815">
        <f t="shared" si="5"/>
        <v>0</v>
      </c>
      <c r="AE4" s="815">
        <f t="shared" si="5"/>
        <v>313302722</v>
      </c>
      <c r="AF4" s="815">
        <f t="shared" si="5"/>
        <v>313302322</v>
      </c>
      <c r="AG4" s="815">
        <f t="shared" si="5"/>
        <v>175282000</v>
      </c>
      <c r="AH4" s="815">
        <f t="shared" si="5"/>
        <v>175282000</v>
      </c>
      <c r="AI4" s="815">
        <f t="shared" si="5"/>
        <v>1740075678</v>
      </c>
      <c r="AJ4" s="815">
        <f t="shared" si="5"/>
        <v>1740075678</v>
      </c>
      <c r="AK4" s="815">
        <f t="shared" si="5"/>
        <v>851407000</v>
      </c>
      <c r="AL4" s="815">
        <f t="shared" si="5"/>
        <v>851407000</v>
      </c>
      <c r="AM4" s="815">
        <f t="shared" si="5"/>
        <v>0</v>
      </c>
      <c r="AN4" s="815">
        <f t="shared" si="5"/>
        <v>0</v>
      </c>
      <c r="AO4" s="815">
        <f t="shared" si="5"/>
        <v>0</v>
      </c>
      <c r="AP4" s="815">
        <f t="shared" si="5"/>
        <v>0</v>
      </c>
      <c r="AQ4" s="815">
        <f t="shared" si="5"/>
        <v>0</v>
      </c>
      <c r="AR4" s="815">
        <f t="shared" si="5"/>
        <v>0</v>
      </c>
      <c r="AS4" s="815">
        <f t="shared" si="5"/>
        <v>0</v>
      </c>
      <c r="AT4" s="815">
        <f t="shared" si="5"/>
        <v>0</v>
      </c>
      <c r="AU4" s="815">
        <f t="shared" si="5"/>
        <v>0</v>
      </c>
      <c r="AV4" s="815">
        <f t="shared" si="5"/>
        <v>0</v>
      </c>
      <c r="AW4" s="815">
        <f t="shared" si="5"/>
        <v>0</v>
      </c>
      <c r="AX4" s="815">
        <f t="shared" si="5"/>
        <v>0</v>
      </c>
      <c r="AY4" s="815">
        <f t="shared" si="5"/>
        <v>0</v>
      </c>
      <c r="AZ4" s="815">
        <f t="shared" si="5"/>
        <v>0</v>
      </c>
      <c r="BA4" s="815">
        <f t="shared" si="5"/>
        <v>0</v>
      </c>
      <c r="BB4" s="815">
        <f t="shared" si="5"/>
        <v>0</v>
      </c>
      <c r="BC4" s="815">
        <f t="shared" si="5"/>
        <v>0</v>
      </c>
      <c r="BD4" s="815">
        <f t="shared" si="5"/>
        <v>0</v>
      </c>
      <c r="BE4" s="815">
        <f t="shared" si="5"/>
        <v>0</v>
      </c>
      <c r="BF4" s="815">
        <f t="shared" si="5"/>
        <v>0</v>
      </c>
      <c r="BG4" s="815">
        <f t="shared" si="5"/>
        <v>0</v>
      </c>
      <c r="BH4" s="815">
        <f t="shared" si="5"/>
        <v>0</v>
      </c>
      <c r="BI4" s="815">
        <f t="shared" si="5"/>
        <v>0</v>
      </c>
      <c r="BJ4" s="815">
        <f t="shared" si="5"/>
        <v>0</v>
      </c>
      <c r="BK4" s="815">
        <f t="shared" si="5"/>
        <v>0</v>
      </c>
      <c r="BL4" s="815">
        <f t="shared" si="5"/>
        <v>0</v>
      </c>
      <c r="BM4" s="815">
        <f t="shared" si="5"/>
        <v>0</v>
      </c>
      <c r="BN4" s="815">
        <f t="shared" si="5"/>
        <v>0</v>
      </c>
      <c r="BO4" s="815">
        <f t="shared" si="5"/>
        <v>0</v>
      </c>
      <c r="BP4" s="815">
        <f t="shared" si="5"/>
        <v>0</v>
      </c>
      <c r="BQ4" s="815">
        <f t="shared" si="5"/>
        <v>0</v>
      </c>
      <c r="BR4" s="815">
        <f t="shared" si="5"/>
        <v>0</v>
      </c>
      <c r="BS4" s="815">
        <f t="shared" si="5"/>
        <v>0</v>
      </c>
      <c r="BT4" s="815">
        <f t="shared" si="5"/>
        <v>0</v>
      </c>
      <c r="BU4" s="815">
        <f t="shared" si="5"/>
        <v>0</v>
      </c>
      <c r="BV4" s="815">
        <f t="shared" si="5"/>
        <v>0</v>
      </c>
      <c r="BW4" s="815">
        <f t="shared" si="5"/>
        <v>0</v>
      </c>
      <c r="BX4" s="815">
        <f t="shared" si="5"/>
        <v>0</v>
      </c>
      <c r="BY4" s="815">
        <f t="shared" si="5"/>
        <v>0</v>
      </c>
      <c r="BZ4" s="815">
        <f t="shared" si="5"/>
        <v>0</v>
      </c>
      <c r="CA4" s="815">
        <f t="shared" si="5"/>
        <v>0</v>
      </c>
      <c r="CB4" s="815">
        <f t="shared" si="5"/>
        <v>0</v>
      </c>
      <c r="CC4" s="815">
        <f t="shared" si="5"/>
        <v>0</v>
      </c>
      <c r="CD4" s="815">
        <f t="shared" si="5"/>
        <v>0</v>
      </c>
      <c r="CE4" s="815">
        <f t="shared" si="5"/>
        <v>0</v>
      </c>
      <c r="CF4" s="815">
        <f t="shared" si="5"/>
        <v>0</v>
      </c>
      <c r="CG4" s="815">
        <f t="shared" ref="CG4:ED4" si="6">+CG5</f>
        <v>0</v>
      </c>
      <c r="CH4" s="815">
        <f t="shared" si="6"/>
        <v>0</v>
      </c>
      <c r="CI4" s="815">
        <f t="shared" si="6"/>
        <v>0</v>
      </c>
      <c r="CJ4" s="815">
        <f t="shared" si="6"/>
        <v>0</v>
      </c>
      <c r="CK4" s="815">
        <f t="shared" si="6"/>
        <v>0</v>
      </c>
      <c r="CL4" s="815">
        <f t="shared" si="6"/>
        <v>0</v>
      </c>
      <c r="CM4" s="815">
        <f t="shared" si="6"/>
        <v>880413481</v>
      </c>
      <c r="CN4" s="815">
        <f t="shared" si="6"/>
        <v>866719937</v>
      </c>
      <c r="CO4" s="815">
        <f t="shared" si="6"/>
        <v>827819937</v>
      </c>
      <c r="CP4" s="815">
        <f t="shared" si="6"/>
        <v>827819937</v>
      </c>
      <c r="CQ4" s="815">
        <f t="shared" si="6"/>
        <v>15000000</v>
      </c>
      <c r="CR4" s="815">
        <f t="shared" si="6"/>
        <v>15000000</v>
      </c>
      <c r="CS4" s="815">
        <f t="shared" si="6"/>
        <v>15000000</v>
      </c>
      <c r="CT4" s="815">
        <f t="shared" si="6"/>
        <v>15000000</v>
      </c>
      <c r="CU4" s="815">
        <f t="shared" si="6"/>
        <v>19586519</v>
      </c>
      <c r="CV4" s="815">
        <f t="shared" si="6"/>
        <v>15282796</v>
      </c>
      <c r="CW4" s="815">
        <f t="shared" si="6"/>
        <v>15282796</v>
      </c>
      <c r="CX4" s="815">
        <f t="shared" si="6"/>
        <v>15282796</v>
      </c>
      <c r="CY4" s="815">
        <f t="shared" si="6"/>
        <v>0</v>
      </c>
      <c r="CZ4" s="815">
        <f t="shared" si="6"/>
        <v>0</v>
      </c>
      <c r="DA4" s="815">
        <f t="shared" si="6"/>
        <v>0</v>
      </c>
      <c r="DB4" s="815">
        <f t="shared" si="6"/>
        <v>0</v>
      </c>
      <c r="DC4" s="815">
        <f t="shared" si="6"/>
        <v>0</v>
      </c>
      <c r="DD4" s="815">
        <f t="shared" si="6"/>
        <v>0</v>
      </c>
      <c r="DE4" s="815">
        <f t="shared" si="6"/>
        <v>0</v>
      </c>
      <c r="DF4" s="815">
        <f t="shared" si="6"/>
        <v>0</v>
      </c>
      <c r="DG4" s="815">
        <f t="shared" si="6"/>
        <v>0</v>
      </c>
      <c r="DH4" s="815">
        <f t="shared" si="6"/>
        <v>0</v>
      </c>
      <c r="DI4" s="815">
        <f t="shared" si="6"/>
        <v>0</v>
      </c>
      <c r="DJ4" s="815">
        <f t="shared" si="6"/>
        <v>0</v>
      </c>
      <c r="DK4" s="815">
        <f t="shared" si="6"/>
        <v>0</v>
      </c>
      <c r="DL4" s="815">
        <f t="shared" si="6"/>
        <v>0</v>
      </c>
      <c r="DM4" s="815">
        <f t="shared" si="6"/>
        <v>0</v>
      </c>
      <c r="DN4" s="815">
        <f t="shared" si="6"/>
        <v>0</v>
      </c>
      <c r="DO4" s="815">
        <f t="shared" si="6"/>
        <v>3602720766</v>
      </c>
      <c r="DP4" s="815">
        <f t="shared" si="6"/>
        <v>3602609212</v>
      </c>
      <c r="DQ4" s="815">
        <f t="shared" si="6"/>
        <v>460234023</v>
      </c>
      <c r="DR4" s="815">
        <f t="shared" si="6"/>
        <v>460234023</v>
      </c>
      <c r="DS4" s="815">
        <f t="shared" si="6"/>
        <v>0</v>
      </c>
      <c r="DT4" s="815">
        <f t="shared" si="6"/>
        <v>0</v>
      </c>
      <c r="DU4" s="815">
        <f t="shared" si="6"/>
        <v>0</v>
      </c>
      <c r="DV4" s="815">
        <f t="shared" si="6"/>
        <v>0</v>
      </c>
      <c r="DW4" s="815">
        <f t="shared" si="6"/>
        <v>0</v>
      </c>
      <c r="DX4" s="815">
        <f t="shared" si="6"/>
        <v>0</v>
      </c>
      <c r="DY4" s="815">
        <f t="shared" si="6"/>
        <v>0</v>
      </c>
      <c r="DZ4" s="815">
        <f t="shared" si="6"/>
        <v>0</v>
      </c>
      <c r="EA4" s="815">
        <f t="shared" si="6"/>
        <v>0</v>
      </c>
      <c r="EB4" s="815">
        <f t="shared" si="6"/>
        <v>0</v>
      </c>
      <c r="EC4" s="815">
        <f t="shared" si="6"/>
        <v>0</v>
      </c>
      <c r="ED4" s="815">
        <f t="shared" si="6"/>
        <v>0</v>
      </c>
      <c r="EE4" s="816">
        <f t="shared" ref="EE4:EH9" si="7">+C4+G4+K4+O4+S4+W4+AA4+AE4+AI4+AM4+AQ4+AU4+AY4+BC4+BG4+BK4+BO4+BS4+BW4+CA4+CE4+CI4+CM4+CQ4+CU4+CY4+DC4+DG4+DK4+DO4+EA4+DS4+DW4</f>
        <v>6571099166</v>
      </c>
      <c r="EF4" s="816">
        <f t="shared" si="7"/>
        <v>6552989945</v>
      </c>
      <c r="EG4" s="816">
        <f>+E4+I4+M4+Q4+U4+Y4+AC4+AG4+AK4+AO4+AS4+AW4+BA4+BE4+BI4+BM4+BQ4+BU4+BY4+CC4+CG4+CK4+CO4+CS4+CW4+DA4+DE4+DI4+DM4+DQ4+EC4+DY4+EC4</f>
        <v>2345025756</v>
      </c>
      <c r="EH4" s="816">
        <f>+F4+J4+N4+R4+V4+Z4+AD4+AH4+AL4+AP4+AT4+AX4+BB4+BF4+BJ4+BN4+BR4+BV4+BZ4+CD4+CH4+CL4+CP4+CT4+CX4+DB4+DF4+DJ4+DN4+DR4+ED4</f>
        <v>2345025756</v>
      </c>
      <c r="EI4" s="817">
        <f t="shared" si="4"/>
        <v>0</v>
      </c>
      <c r="EK4" s="813"/>
    </row>
    <row r="5" spans="1:142" ht="18" customHeight="1" thickTop="1" thickBot="1" x14ac:dyDescent="0.3">
      <c r="A5" s="818" t="s">
        <v>1498</v>
      </c>
      <c r="B5" s="819">
        <f t="shared" ref="B5:BM5" si="8">+B6+B10</f>
        <v>6571099166</v>
      </c>
      <c r="C5" s="819">
        <f t="shared" si="8"/>
        <v>0</v>
      </c>
      <c r="D5" s="819">
        <f t="shared" si="8"/>
        <v>0</v>
      </c>
      <c r="E5" s="819">
        <f t="shared" si="8"/>
        <v>0</v>
      </c>
      <c r="F5" s="819">
        <f t="shared" si="8"/>
        <v>0</v>
      </c>
      <c r="G5" s="819">
        <f t="shared" si="8"/>
        <v>0</v>
      </c>
      <c r="H5" s="819">
        <f t="shared" si="8"/>
        <v>0</v>
      </c>
      <c r="I5" s="819">
        <f t="shared" si="8"/>
        <v>0</v>
      </c>
      <c r="J5" s="819">
        <f t="shared" si="8"/>
        <v>0</v>
      </c>
      <c r="K5" s="819">
        <f t="shared" si="8"/>
        <v>0</v>
      </c>
      <c r="L5" s="819">
        <f t="shared" si="8"/>
        <v>0</v>
      </c>
      <c r="M5" s="819">
        <f t="shared" si="8"/>
        <v>0</v>
      </c>
      <c r="N5" s="819">
        <f t="shared" si="8"/>
        <v>0</v>
      </c>
      <c r="O5" s="819">
        <f t="shared" si="8"/>
        <v>0</v>
      </c>
      <c r="P5" s="819">
        <f t="shared" si="8"/>
        <v>0</v>
      </c>
      <c r="Q5" s="819">
        <f t="shared" si="8"/>
        <v>0</v>
      </c>
      <c r="R5" s="819">
        <f t="shared" si="8"/>
        <v>0</v>
      </c>
      <c r="S5" s="819">
        <f t="shared" si="8"/>
        <v>0</v>
      </c>
      <c r="T5" s="819">
        <f t="shared" si="8"/>
        <v>0</v>
      </c>
      <c r="U5" s="819">
        <f t="shared" si="8"/>
        <v>0</v>
      </c>
      <c r="V5" s="819">
        <f t="shared" si="8"/>
        <v>0</v>
      </c>
      <c r="W5" s="819">
        <f t="shared" si="8"/>
        <v>0</v>
      </c>
      <c r="X5" s="819">
        <f t="shared" si="8"/>
        <v>0</v>
      </c>
      <c r="Y5" s="819">
        <f t="shared" si="8"/>
        <v>0</v>
      </c>
      <c r="Z5" s="819">
        <f t="shared" si="8"/>
        <v>0</v>
      </c>
      <c r="AA5" s="819">
        <f t="shared" si="8"/>
        <v>0</v>
      </c>
      <c r="AB5" s="819">
        <f t="shared" si="8"/>
        <v>0</v>
      </c>
      <c r="AC5" s="819">
        <f t="shared" si="8"/>
        <v>0</v>
      </c>
      <c r="AD5" s="819">
        <f t="shared" si="8"/>
        <v>0</v>
      </c>
      <c r="AE5" s="819">
        <f t="shared" si="8"/>
        <v>313302722</v>
      </c>
      <c r="AF5" s="819">
        <f t="shared" si="8"/>
        <v>313302322</v>
      </c>
      <c r="AG5" s="819">
        <f t="shared" si="8"/>
        <v>175282000</v>
      </c>
      <c r="AH5" s="819">
        <f t="shared" si="8"/>
        <v>175282000</v>
      </c>
      <c r="AI5" s="819">
        <f t="shared" si="8"/>
        <v>1740075678</v>
      </c>
      <c r="AJ5" s="819">
        <f t="shared" si="8"/>
        <v>1740075678</v>
      </c>
      <c r="AK5" s="819">
        <f t="shared" si="8"/>
        <v>851407000</v>
      </c>
      <c r="AL5" s="819">
        <f t="shared" si="8"/>
        <v>851407000</v>
      </c>
      <c r="AM5" s="819">
        <f t="shared" si="8"/>
        <v>0</v>
      </c>
      <c r="AN5" s="819">
        <f t="shared" si="8"/>
        <v>0</v>
      </c>
      <c r="AO5" s="819">
        <f t="shared" si="8"/>
        <v>0</v>
      </c>
      <c r="AP5" s="819">
        <f t="shared" si="8"/>
        <v>0</v>
      </c>
      <c r="AQ5" s="819">
        <f t="shared" si="8"/>
        <v>0</v>
      </c>
      <c r="AR5" s="819">
        <f t="shared" si="8"/>
        <v>0</v>
      </c>
      <c r="AS5" s="819">
        <f t="shared" si="8"/>
        <v>0</v>
      </c>
      <c r="AT5" s="819">
        <f t="shared" si="8"/>
        <v>0</v>
      </c>
      <c r="AU5" s="819">
        <f t="shared" si="8"/>
        <v>0</v>
      </c>
      <c r="AV5" s="819">
        <f t="shared" si="8"/>
        <v>0</v>
      </c>
      <c r="AW5" s="819">
        <f t="shared" si="8"/>
        <v>0</v>
      </c>
      <c r="AX5" s="819">
        <f t="shared" si="8"/>
        <v>0</v>
      </c>
      <c r="AY5" s="819">
        <f t="shared" si="8"/>
        <v>0</v>
      </c>
      <c r="AZ5" s="819">
        <f t="shared" si="8"/>
        <v>0</v>
      </c>
      <c r="BA5" s="819">
        <f t="shared" si="8"/>
        <v>0</v>
      </c>
      <c r="BB5" s="819">
        <f t="shared" si="8"/>
        <v>0</v>
      </c>
      <c r="BC5" s="819">
        <f t="shared" si="8"/>
        <v>0</v>
      </c>
      <c r="BD5" s="819">
        <f t="shared" si="8"/>
        <v>0</v>
      </c>
      <c r="BE5" s="819">
        <f t="shared" si="8"/>
        <v>0</v>
      </c>
      <c r="BF5" s="819">
        <f t="shared" si="8"/>
        <v>0</v>
      </c>
      <c r="BG5" s="819">
        <f t="shared" si="8"/>
        <v>0</v>
      </c>
      <c r="BH5" s="819">
        <f t="shared" si="8"/>
        <v>0</v>
      </c>
      <c r="BI5" s="819">
        <f t="shared" si="8"/>
        <v>0</v>
      </c>
      <c r="BJ5" s="819">
        <f t="shared" si="8"/>
        <v>0</v>
      </c>
      <c r="BK5" s="819">
        <f t="shared" si="8"/>
        <v>0</v>
      </c>
      <c r="BL5" s="819">
        <f t="shared" si="8"/>
        <v>0</v>
      </c>
      <c r="BM5" s="819">
        <f t="shared" si="8"/>
        <v>0</v>
      </c>
      <c r="BN5" s="819">
        <f t="shared" ref="BN5:ED5" si="9">+BN6+BN10</f>
        <v>0</v>
      </c>
      <c r="BO5" s="819">
        <f t="shared" si="9"/>
        <v>0</v>
      </c>
      <c r="BP5" s="819">
        <f t="shared" si="9"/>
        <v>0</v>
      </c>
      <c r="BQ5" s="819">
        <f t="shared" si="9"/>
        <v>0</v>
      </c>
      <c r="BR5" s="819">
        <f t="shared" si="9"/>
        <v>0</v>
      </c>
      <c r="BS5" s="819">
        <f t="shared" si="9"/>
        <v>0</v>
      </c>
      <c r="BT5" s="819">
        <f t="shared" si="9"/>
        <v>0</v>
      </c>
      <c r="BU5" s="819">
        <f t="shared" si="9"/>
        <v>0</v>
      </c>
      <c r="BV5" s="819">
        <f t="shared" si="9"/>
        <v>0</v>
      </c>
      <c r="BW5" s="819">
        <f t="shared" si="9"/>
        <v>0</v>
      </c>
      <c r="BX5" s="819">
        <f t="shared" si="9"/>
        <v>0</v>
      </c>
      <c r="BY5" s="819">
        <f t="shared" si="9"/>
        <v>0</v>
      </c>
      <c r="BZ5" s="819">
        <f t="shared" si="9"/>
        <v>0</v>
      </c>
      <c r="CA5" s="819">
        <f t="shared" si="9"/>
        <v>0</v>
      </c>
      <c r="CB5" s="819">
        <f t="shared" si="9"/>
        <v>0</v>
      </c>
      <c r="CC5" s="819">
        <f t="shared" si="9"/>
        <v>0</v>
      </c>
      <c r="CD5" s="819">
        <f t="shared" si="9"/>
        <v>0</v>
      </c>
      <c r="CE5" s="819">
        <f t="shared" si="9"/>
        <v>0</v>
      </c>
      <c r="CF5" s="819">
        <f t="shared" si="9"/>
        <v>0</v>
      </c>
      <c r="CG5" s="819">
        <f t="shared" si="9"/>
        <v>0</v>
      </c>
      <c r="CH5" s="819">
        <f t="shared" si="9"/>
        <v>0</v>
      </c>
      <c r="CI5" s="819">
        <f t="shared" si="9"/>
        <v>0</v>
      </c>
      <c r="CJ5" s="819">
        <f t="shared" si="9"/>
        <v>0</v>
      </c>
      <c r="CK5" s="819">
        <f t="shared" si="9"/>
        <v>0</v>
      </c>
      <c r="CL5" s="819">
        <f t="shared" si="9"/>
        <v>0</v>
      </c>
      <c r="CM5" s="819">
        <f t="shared" si="9"/>
        <v>880413481</v>
      </c>
      <c r="CN5" s="819">
        <f t="shared" si="9"/>
        <v>866719937</v>
      </c>
      <c r="CO5" s="819">
        <f t="shared" si="9"/>
        <v>827819937</v>
      </c>
      <c r="CP5" s="819">
        <f t="shared" si="9"/>
        <v>827819937</v>
      </c>
      <c r="CQ5" s="819">
        <f t="shared" si="9"/>
        <v>15000000</v>
      </c>
      <c r="CR5" s="819">
        <f t="shared" si="9"/>
        <v>15000000</v>
      </c>
      <c r="CS5" s="819">
        <f t="shared" si="9"/>
        <v>15000000</v>
      </c>
      <c r="CT5" s="819">
        <f t="shared" si="9"/>
        <v>15000000</v>
      </c>
      <c r="CU5" s="819">
        <f t="shared" si="9"/>
        <v>19586519</v>
      </c>
      <c r="CV5" s="819">
        <f t="shared" si="9"/>
        <v>15282796</v>
      </c>
      <c r="CW5" s="819">
        <f t="shared" si="9"/>
        <v>15282796</v>
      </c>
      <c r="CX5" s="819">
        <f t="shared" si="9"/>
        <v>15282796</v>
      </c>
      <c r="CY5" s="819">
        <f t="shared" si="9"/>
        <v>0</v>
      </c>
      <c r="CZ5" s="819">
        <f t="shared" si="9"/>
        <v>0</v>
      </c>
      <c r="DA5" s="819">
        <f t="shared" si="9"/>
        <v>0</v>
      </c>
      <c r="DB5" s="819">
        <f t="shared" si="9"/>
        <v>0</v>
      </c>
      <c r="DC5" s="819">
        <f t="shared" si="9"/>
        <v>0</v>
      </c>
      <c r="DD5" s="819">
        <f t="shared" si="9"/>
        <v>0</v>
      </c>
      <c r="DE5" s="819">
        <f t="shared" si="9"/>
        <v>0</v>
      </c>
      <c r="DF5" s="819">
        <f t="shared" si="9"/>
        <v>0</v>
      </c>
      <c r="DG5" s="819">
        <f t="shared" si="9"/>
        <v>0</v>
      </c>
      <c r="DH5" s="819">
        <f t="shared" si="9"/>
        <v>0</v>
      </c>
      <c r="DI5" s="819">
        <f t="shared" si="9"/>
        <v>0</v>
      </c>
      <c r="DJ5" s="819">
        <f t="shared" si="9"/>
        <v>0</v>
      </c>
      <c r="DK5" s="819">
        <f t="shared" si="9"/>
        <v>0</v>
      </c>
      <c r="DL5" s="819">
        <f t="shared" si="9"/>
        <v>0</v>
      </c>
      <c r="DM5" s="819">
        <f t="shared" si="9"/>
        <v>0</v>
      </c>
      <c r="DN5" s="819">
        <f t="shared" si="9"/>
        <v>0</v>
      </c>
      <c r="DO5" s="819">
        <f t="shared" si="9"/>
        <v>3602720766</v>
      </c>
      <c r="DP5" s="819">
        <f t="shared" si="9"/>
        <v>3602609212</v>
      </c>
      <c r="DQ5" s="819">
        <f t="shared" si="9"/>
        <v>460234023</v>
      </c>
      <c r="DR5" s="819">
        <f t="shared" si="9"/>
        <v>460234023</v>
      </c>
      <c r="DS5" s="819">
        <f t="shared" si="9"/>
        <v>0</v>
      </c>
      <c r="DT5" s="819">
        <f t="shared" si="9"/>
        <v>0</v>
      </c>
      <c r="DU5" s="819">
        <f t="shared" si="9"/>
        <v>0</v>
      </c>
      <c r="DV5" s="819">
        <f t="shared" si="9"/>
        <v>0</v>
      </c>
      <c r="DW5" s="819">
        <f t="shared" si="9"/>
        <v>0</v>
      </c>
      <c r="DX5" s="819">
        <f t="shared" si="9"/>
        <v>0</v>
      </c>
      <c r="DY5" s="819">
        <f t="shared" si="9"/>
        <v>0</v>
      </c>
      <c r="DZ5" s="819">
        <f t="shared" si="9"/>
        <v>0</v>
      </c>
      <c r="EA5" s="819">
        <f t="shared" si="9"/>
        <v>0</v>
      </c>
      <c r="EB5" s="819">
        <f t="shared" si="9"/>
        <v>0</v>
      </c>
      <c r="EC5" s="819">
        <f t="shared" si="9"/>
        <v>0</v>
      </c>
      <c r="ED5" s="819">
        <f t="shared" si="9"/>
        <v>0</v>
      </c>
      <c r="EE5" s="820">
        <f t="shared" si="7"/>
        <v>6571099166</v>
      </c>
      <c r="EF5" s="820">
        <f t="shared" si="7"/>
        <v>6552989945</v>
      </c>
      <c r="EG5" s="820">
        <f t="shared" si="7"/>
        <v>2345025756</v>
      </c>
      <c r="EH5" s="820">
        <f t="shared" si="7"/>
        <v>2345025756</v>
      </c>
      <c r="EI5" s="821">
        <f t="shared" si="4"/>
        <v>0</v>
      </c>
      <c r="EK5" s="813"/>
    </row>
    <row r="6" spans="1:142" ht="26.25" customHeight="1" thickTop="1" thickBot="1" x14ac:dyDescent="0.3">
      <c r="A6" s="822" t="s">
        <v>1499</v>
      </c>
      <c r="B6" s="823">
        <f t="shared" ref="B6:BM6" si="10">SUM(B7:B9)</f>
        <v>1639594000</v>
      </c>
      <c r="C6" s="823">
        <f t="shared" si="10"/>
        <v>0</v>
      </c>
      <c r="D6" s="823">
        <f t="shared" si="10"/>
        <v>0</v>
      </c>
      <c r="E6" s="823">
        <f t="shared" si="10"/>
        <v>0</v>
      </c>
      <c r="F6" s="823">
        <f t="shared" si="10"/>
        <v>0</v>
      </c>
      <c r="G6" s="823">
        <f t="shared" si="10"/>
        <v>0</v>
      </c>
      <c r="H6" s="823">
        <f t="shared" si="10"/>
        <v>0</v>
      </c>
      <c r="I6" s="823">
        <f t="shared" si="10"/>
        <v>0</v>
      </c>
      <c r="J6" s="823">
        <f t="shared" si="10"/>
        <v>0</v>
      </c>
      <c r="K6" s="823">
        <f t="shared" si="10"/>
        <v>0</v>
      </c>
      <c r="L6" s="823">
        <f t="shared" si="10"/>
        <v>0</v>
      </c>
      <c r="M6" s="823">
        <f t="shared" si="10"/>
        <v>0</v>
      </c>
      <c r="N6" s="823">
        <f t="shared" si="10"/>
        <v>0</v>
      </c>
      <c r="O6" s="823">
        <f t="shared" si="10"/>
        <v>0</v>
      </c>
      <c r="P6" s="823">
        <f t="shared" si="10"/>
        <v>0</v>
      </c>
      <c r="Q6" s="823">
        <f t="shared" si="10"/>
        <v>0</v>
      </c>
      <c r="R6" s="823">
        <f t="shared" si="10"/>
        <v>0</v>
      </c>
      <c r="S6" s="823">
        <f t="shared" si="10"/>
        <v>0</v>
      </c>
      <c r="T6" s="823">
        <f t="shared" si="10"/>
        <v>0</v>
      </c>
      <c r="U6" s="823">
        <f t="shared" si="10"/>
        <v>0</v>
      </c>
      <c r="V6" s="823">
        <f t="shared" si="10"/>
        <v>0</v>
      </c>
      <c r="W6" s="823">
        <f t="shared" si="10"/>
        <v>0</v>
      </c>
      <c r="X6" s="823">
        <f t="shared" si="10"/>
        <v>0</v>
      </c>
      <c r="Y6" s="823">
        <f t="shared" si="10"/>
        <v>0</v>
      </c>
      <c r="Z6" s="823">
        <f t="shared" si="10"/>
        <v>0</v>
      </c>
      <c r="AA6" s="823">
        <f t="shared" si="10"/>
        <v>0</v>
      </c>
      <c r="AB6" s="823">
        <f t="shared" si="10"/>
        <v>0</v>
      </c>
      <c r="AC6" s="823">
        <f t="shared" si="10"/>
        <v>0</v>
      </c>
      <c r="AD6" s="823">
        <f t="shared" si="10"/>
        <v>0</v>
      </c>
      <c r="AE6" s="823">
        <f t="shared" si="10"/>
        <v>0</v>
      </c>
      <c r="AF6" s="823">
        <f t="shared" si="10"/>
        <v>0</v>
      </c>
      <c r="AG6" s="823">
        <f t="shared" si="10"/>
        <v>0</v>
      </c>
      <c r="AH6" s="823">
        <f t="shared" si="10"/>
        <v>0</v>
      </c>
      <c r="AI6" s="823">
        <f t="shared" si="10"/>
        <v>885450000</v>
      </c>
      <c r="AJ6" s="823">
        <f t="shared" si="10"/>
        <v>885450000</v>
      </c>
      <c r="AK6" s="823">
        <f t="shared" si="10"/>
        <v>442725000</v>
      </c>
      <c r="AL6" s="823">
        <f t="shared" si="10"/>
        <v>442725000</v>
      </c>
      <c r="AM6" s="823">
        <f t="shared" si="10"/>
        <v>0</v>
      </c>
      <c r="AN6" s="823">
        <f t="shared" si="10"/>
        <v>0</v>
      </c>
      <c r="AO6" s="823">
        <f t="shared" si="10"/>
        <v>0</v>
      </c>
      <c r="AP6" s="823">
        <f t="shared" si="10"/>
        <v>0</v>
      </c>
      <c r="AQ6" s="823">
        <f t="shared" si="10"/>
        <v>0</v>
      </c>
      <c r="AR6" s="823">
        <f t="shared" si="10"/>
        <v>0</v>
      </c>
      <c r="AS6" s="823">
        <f t="shared" si="10"/>
        <v>0</v>
      </c>
      <c r="AT6" s="823">
        <f t="shared" si="10"/>
        <v>0</v>
      </c>
      <c r="AU6" s="823">
        <f t="shared" si="10"/>
        <v>0</v>
      </c>
      <c r="AV6" s="823">
        <f t="shared" si="10"/>
        <v>0</v>
      </c>
      <c r="AW6" s="823">
        <f t="shared" si="10"/>
        <v>0</v>
      </c>
      <c r="AX6" s="823">
        <f t="shared" si="10"/>
        <v>0</v>
      </c>
      <c r="AY6" s="823">
        <f t="shared" si="10"/>
        <v>0</v>
      </c>
      <c r="AZ6" s="823">
        <f t="shared" si="10"/>
        <v>0</v>
      </c>
      <c r="BA6" s="823">
        <f t="shared" si="10"/>
        <v>0</v>
      </c>
      <c r="BB6" s="823">
        <f t="shared" si="10"/>
        <v>0</v>
      </c>
      <c r="BC6" s="823">
        <f t="shared" si="10"/>
        <v>0</v>
      </c>
      <c r="BD6" s="823">
        <f t="shared" si="10"/>
        <v>0</v>
      </c>
      <c r="BE6" s="823">
        <f t="shared" si="10"/>
        <v>0</v>
      </c>
      <c r="BF6" s="823">
        <f t="shared" si="10"/>
        <v>0</v>
      </c>
      <c r="BG6" s="823">
        <f t="shared" si="10"/>
        <v>0</v>
      </c>
      <c r="BH6" s="823">
        <f t="shared" si="10"/>
        <v>0</v>
      </c>
      <c r="BI6" s="823">
        <f t="shared" si="10"/>
        <v>0</v>
      </c>
      <c r="BJ6" s="823">
        <f t="shared" si="10"/>
        <v>0</v>
      </c>
      <c r="BK6" s="823">
        <f t="shared" si="10"/>
        <v>0</v>
      </c>
      <c r="BL6" s="823">
        <f t="shared" si="10"/>
        <v>0</v>
      </c>
      <c r="BM6" s="823">
        <f t="shared" si="10"/>
        <v>0</v>
      </c>
      <c r="BN6" s="823">
        <f t="shared" ref="BN6:ED6" si="11">SUM(BN7:BN9)</f>
        <v>0</v>
      </c>
      <c r="BO6" s="823">
        <f t="shared" si="11"/>
        <v>0</v>
      </c>
      <c r="BP6" s="823">
        <f t="shared" si="11"/>
        <v>0</v>
      </c>
      <c r="BQ6" s="823">
        <f t="shared" si="11"/>
        <v>0</v>
      </c>
      <c r="BR6" s="823">
        <f t="shared" si="11"/>
        <v>0</v>
      </c>
      <c r="BS6" s="823">
        <f t="shared" si="11"/>
        <v>0</v>
      </c>
      <c r="BT6" s="823">
        <f t="shared" si="11"/>
        <v>0</v>
      </c>
      <c r="BU6" s="823">
        <f t="shared" si="11"/>
        <v>0</v>
      </c>
      <c r="BV6" s="823">
        <f t="shared" si="11"/>
        <v>0</v>
      </c>
      <c r="BW6" s="823">
        <f t="shared" si="11"/>
        <v>0</v>
      </c>
      <c r="BX6" s="823">
        <f t="shared" si="11"/>
        <v>0</v>
      </c>
      <c r="BY6" s="823">
        <f t="shared" si="11"/>
        <v>0</v>
      </c>
      <c r="BZ6" s="823">
        <f t="shared" si="11"/>
        <v>0</v>
      </c>
      <c r="CA6" s="823">
        <f t="shared" si="11"/>
        <v>0</v>
      </c>
      <c r="CB6" s="823">
        <f t="shared" si="11"/>
        <v>0</v>
      </c>
      <c r="CC6" s="823">
        <f t="shared" si="11"/>
        <v>0</v>
      </c>
      <c r="CD6" s="823">
        <f t="shared" si="11"/>
        <v>0</v>
      </c>
      <c r="CE6" s="823">
        <f t="shared" si="11"/>
        <v>0</v>
      </c>
      <c r="CF6" s="823">
        <f t="shared" si="11"/>
        <v>0</v>
      </c>
      <c r="CG6" s="823">
        <f t="shared" si="11"/>
        <v>0</v>
      </c>
      <c r="CH6" s="823">
        <f t="shared" si="11"/>
        <v>0</v>
      </c>
      <c r="CI6" s="823">
        <f t="shared" si="11"/>
        <v>0</v>
      </c>
      <c r="CJ6" s="823">
        <f t="shared" si="11"/>
        <v>0</v>
      </c>
      <c r="CK6" s="823">
        <f t="shared" si="11"/>
        <v>0</v>
      </c>
      <c r="CL6" s="823">
        <f t="shared" si="11"/>
        <v>0</v>
      </c>
      <c r="CM6" s="823">
        <f t="shared" si="11"/>
        <v>719557481</v>
      </c>
      <c r="CN6" s="823">
        <f t="shared" si="11"/>
        <v>714363481</v>
      </c>
      <c r="CO6" s="823">
        <f t="shared" si="11"/>
        <v>675463481</v>
      </c>
      <c r="CP6" s="823">
        <f t="shared" si="11"/>
        <v>675463481</v>
      </c>
      <c r="CQ6" s="823">
        <f t="shared" si="11"/>
        <v>15000000</v>
      </c>
      <c r="CR6" s="823">
        <f t="shared" si="11"/>
        <v>15000000</v>
      </c>
      <c r="CS6" s="823">
        <f t="shared" si="11"/>
        <v>15000000</v>
      </c>
      <c r="CT6" s="823">
        <f t="shared" si="11"/>
        <v>15000000</v>
      </c>
      <c r="CU6" s="823">
        <f t="shared" si="11"/>
        <v>19586519</v>
      </c>
      <c r="CV6" s="823">
        <f t="shared" si="11"/>
        <v>15282796</v>
      </c>
      <c r="CW6" s="823">
        <f t="shared" si="11"/>
        <v>15282796</v>
      </c>
      <c r="CX6" s="823">
        <f t="shared" si="11"/>
        <v>15282796</v>
      </c>
      <c r="CY6" s="823">
        <f t="shared" si="11"/>
        <v>0</v>
      </c>
      <c r="CZ6" s="823">
        <f t="shared" si="11"/>
        <v>0</v>
      </c>
      <c r="DA6" s="823">
        <f t="shared" si="11"/>
        <v>0</v>
      </c>
      <c r="DB6" s="823">
        <f t="shared" si="11"/>
        <v>0</v>
      </c>
      <c r="DC6" s="823">
        <f t="shared" si="11"/>
        <v>0</v>
      </c>
      <c r="DD6" s="823">
        <f t="shared" si="11"/>
        <v>0</v>
      </c>
      <c r="DE6" s="823">
        <f t="shared" si="11"/>
        <v>0</v>
      </c>
      <c r="DF6" s="823">
        <f t="shared" si="11"/>
        <v>0</v>
      </c>
      <c r="DG6" s="823">
        <f t="shared" si="11"/>
        <v>0</v>
      </c>
      <c r="DH6" s="823">
        <f t="shared" si="11"/>
        <v>0</v>
      </c>
      <c r="DI6" s="823">
        <f t="shared" si="11"/>
        <v>0</v>
      </c>
      <c r="DJ6" s="823">
        <f t="shared" si="11"/>
        <v>0</v>
      </c>
      <c r="DK6" s="823">
        <f t="shared" si="11"/>
        <v>0</v>
      </c>
      <c r="DL6" s="823">
        <f t="shared" si="11"/>
        <v>0</v>
      </c>
      <c r="DM6" s="823">
        <f t="shared" si="11"/>
        <v>0</v>
      </c>
      <c r="DN6" s="823">
        <f t="shared" si="11"/>
        <v>0</v>
      </c>
      <c r="DO6" s="823">
        <f t="shared" si="11"/>
        <v>0</v>
      </c>
      <c r="DP6" s="823">
        <f t="shared" si="11"/>
        <v>0</v>
      </c>
      <c r="DQ6" s="823">
        <f t="shared" si="11"/>
        <v>0</v>
      </c>
      <c r="DR6" s="823">
        <f t="shared" si="11"/>
        <v>0</v>
      </c>
      <c r="DS6" s="823">
        <f t="shared" si="11"/>
        <v>0</v>
      </c>
      <c r="DT6" s="823">
        <f t="shared" si="11"/>
        <v>0</v>
      </c>
      <c r="DU6" s="823">
        <f t="shared" si="11"/>
        <v>0</v>
      </c>
      <c r="DV6" s="823">
        <f t="shared" si="11"/>
        <v>0</v>
      </c>
      <c r="DW6" s="823">
        <f t="shared" si="11"/>
        <v>0</v>
      </c>
      <c r="DX6" s="823">
        <f t="shared" si="11"/>
        <v>0</v>
      </c>
      <c r="DY6" s="823">
        <f t="shared" si="11"/>
        <v>0</v>
      </c>
      <c r="DZ6" s="823">
        <f t="shared" si="11"/>
        <v>0</v>
      </c>
      <c r="EA6" s="823">
        <f t="shared" si="11"/>
        <v>0</v>
      </c>
      <c r="EB6" s="823">
        <f t="shared" si="11"/>
        <v>0</v>
      </c>
      <c r="EC6" s="823">
        <f t="shared" si="11"/>
        <v>0</v>
      </c>
      <c r="ED6" s="823">
        <f t="shared" si="11"/>
        <v>0</v>
      </c>
      <c r="EE6" s="810">
        <f t="shared" si="7"/>
        <v>1639594000</v>
      </c>
      <c r="EF6" s="810">
        <f t="shared" si="7"/>
        <v>1630096277</v>
      </c>
      <c r="EG6" s="810">
        <f t="shared" si="7"/>
        <v>1148471277</v>
      </c>
      <c r="EH6" s="810">
        <f t="shared" si="7"/>
        <v>1148471277</v>
      </c>
      <c r="EI6" s="824">
        <f t="shared" si="4"/>
        <v>0</v>
      </c>
      <c r="EK6" s="813"/>
    </row>
    <row r="7" spans="1:142" ht="27" thickTop="1" thickBot="1" x14ac:dyDescent="0.3">
      <c r="A7" s="825" t="s">
        <v>1501</v>
      </c>
      <c r="B7" s="826">
        <f>+'Anexo 5.2. informe Gastos'!I55</f>
        <v>807297000</v>
      </c>
      <c r="C7" s="827"/>
      <c r="D7" s="827"/>
      <c r="E7" s="827"/>
      <c r="F7" s="827"/>
      <c r="G7" s="827"/>
      <c r="H7" s="827"/>
      <c r="I7" s="827"/>
      <c r="J7" s="827"/>
      <c r="K7" s="827"/>
      <c r="L7" s="827"/>
      <c r="M7" s="827"/>
      <c r="N7" s="827"/>
      <c r="O7" s="828"/>
      <c r="P7" s="828"/>
      <c r="Q7" s="827"/>
      <c r="R7" s="828"/>
      <c r="S7" s="828"/>
      <c r="T7" s="828"/>
      <c r="U7" s="827"/>
      <c r="V7" s="827"/>
      <c r="W7" s="827"/>
      <c r="X7" s="827"/>
      <c r="Y7" s="827"/>
      <c r="Z7" s="827"/>
      <c r="AA7" s="827"/>
      <c r="AB7" s="827"/>
      <c r="AC7" s="827"/>
      <c r="AD7" s="827"/>
      <c r="AE7" s="827"/>
      <c r="AF7" s="827"/>
      <c r="AG7" s="827"/>
      <c r="AH7" s="827"/>
      <c r="AI7" s="827">
        <v>430150000</v>
      </c>
      <c r="AJ7" s="827">
        <v>430150000</v>
      </c>
      <c r="AK7" s="827">
        <v>215075000</v>
      </c>
      <c r="AL7" s="827">
        <v>215075000</v>
      </c>
      <c r="AM7" s="827"/>
      <c r="AN7" s="827"/>
      <c r="AO7" s="827"/>
      <c r="AP7" s="827"/>
      <c r="AQ7" s="827"/>
      <c r="AR7" s="827"/>
      <c r="AS7" s="827"/>
      <c r="AT7" s="827"/>
      <c r="AU7" s="827"/>
      <c r="AV7" s="827"/>
      <c r="AW7" s="827"/>
      <c r="AX7" s="827"/>
      <c r="AY7" s="827"/>
      <c r="AZ7" s="827"/>
      <c r="BA7" s="827"/>
      <c r="BB7" s="827"/>
      <c r="BC7" s="827"/>
      <c r="BD7" s="827"/>
      <c r="BE7" s="827"/>
      <c r="BF7" s="827"/>
      <c r="BG7" s="827"/>
      <c r="BH7" s="827"/>
      <c r="BI7" s="827"/>
      <c r="BJ7" s="827"/>
      <c r="BK7" s="827"/>
      <c r="BL7" s="827"/>
      <c r="BM7" s="827"/>
      <c r="BN7" s="827"/>
      <c r="BO7" s="827"/>
      <c r="BP7" s="827"/>
      <c r="BQ7" s="827"/>
      <c r="BR7" s="827"/>
      <c r="BS7" s="827"/>
      <c r="BT7" s="827"/>
      <c r="BU7" s="827"/>
      <c r="BV7" s="827"/>
      <c r="BW7" s="827"/>
      <c r="BX7" s="827"/>
      <c r="BY7" s="827"/>
      <c r="BZ7" s="827"/>
      <c r="CA7" s="827"/>
      <c r="CB7" s="827"/>
      <c r="CC7" s="827"/>
      <c r="CD7" s="827"/>
      <c r="CE7" s="827"/>
      <c r="CF7" s="827"/>
      <c r="CG7" s="827"/>
      <c r="CH7" s="827"/>
      <c r="CI7" s="827"/>
      <c r="CJ7" s="827"/>
      <c r="CK7" s="827"/>
      <c r="CL7" s="827"/>
      <c r="CM7" s="829">
        <f>375350000+1797000</f>
        <v>377147000</v>
      </c>
      <c r="CN7" s="829">
        <v>375350000</v>
      </c>
      <c r="CO7" s="830">
        <v>347450000</v>
      </c>
      <c r="CP7" s="830">
        <v>347450000</v>
      </c>
      <c r="CQ7" s="829"/>
      <c r="CR7" s="829"/>
      <c r="CS7" s="831"/>
      <c r="CT7" s="831"/>
      <c r="CU7" s="829"/>
      <c r="CV7" s="829"/>
      <c r="CW7" s="831"/>
      <c r="CX7" s="831"/>
      <c r="CY7" s="829"/>
      <c r="CZ7" s="829"/>
      <c r="DA7" s="831"/>
      <c r="DB7" s="831"/>
      <c r="DC7" s="829"/>
      <c r="DD7" s="829"/>
      <c r="DE7" s="831"/>
      <c r="DF7" s="831"/>
      <c r="DG7" s="829"/>
      <c r="DH7" s="829"/>
      <c r="DI7" s="831"/>
      <c r="DJ7" s="831"/>
      <c r="DK7" s="829"/>
      <c r="DL7" s="829"/>
      <c r="DM7" s="831"/>
      <c r="DN7" s="831"/>
      <c r="DO7" s="829"/>
      <c r="DP7" s="829"/>
      <c r="DQ7" s="831"/>
      <c r="DR7" s="831"/>
      <c r="DS7" s="829"/>
      <c r="DT7" s="829"/>
      <c r="DU7" s="831"/>
      <c r="DV7" s="831"/>
      <c r="DW7" s="829"/>
      <c r="DX7" s="829"/>
      <c r="DY7" s="831"/>
      <c r="DZ7" s="831"/>
      <c r="EA7" s="828"/>
      <c r="EB7" s="828"/>
      <c r="EC7" s="827"/>
      <c r="ED7" s="827"/>
      <c r="EE7" s="832">
        <f t="shared" si="7"/>
        <v>807297000</v>
      </c>
      <c r="EF7" s="832">
        <f t="shared" si="7"/>
        <v>805500000</v>
      </c>
      <c r="EG7" s="832">
        <f t="shared" si="7"/>
        <v>562525000</v>
      </c>
      <c r="EH7" s="832">
        <f t="shared" si="7"/>
        <v>562525000</v>
      </c>
      <c r="EI7" s="725">
        <f t="shared" si="4"/>
        <v>0</v>
      </c>
      <c r="EK7" s="813"/>
    </row>
    <row r="8" spans="1:142" ht="27" thickTop="1" thickBot="1" x14ac:dyDescent="0.3">
      <c r="A8" s="825" t="s">
        <v>1502</v>
      </c>
      <c r="B8" s="826">
        <f>+'Anexo 5.2. informe Gastos'!I56</f>
        <v>792297000</v>
      </c>
      <c r="C8" s="827"/>
      <c r="D8" s="827"/>
      <c r="E8" s="827"/>
      <c r="F8" s="827"/>
      <c r="G8" s="827"/>
      <c r="H8" s="827"/>
      <c r="I8" s="827"/>
      <c r="J8" s="827"/>
      <c r="K8" s="827"/>
      <c r="L8" s="827"/>
      <c r="M8" s="827"/>
      <c r="N8" s="827"/>
      <c r="O8" s="828"/>
      <c r="P8" s="828"/>
      <c r="Q8" s="827"/>
      <c r="R8" s="828"/>
      <c r="S8" s="828"/>
      <c r="T8" s="828"/>
      <c r="U8" s="827"/>
      <c r="V8" s="827"/>
      <c r="W8" s="827"/>
      <c r="X8" s="827"/>
      <c r="Y8" s="827"/>
      <c r="Z8" s="827"/>
      <c r="AA8" s="827"/>
      <c r="AB8" s="827"/>
      <c r="AC8" s="827"/>
      <c r="AD8" s="827"/>
      <c r="AE8" s="827"/>
      <c r="AF8" s="827"/>
      <c r="AG8" s="827"/>
      <c r="AH8" s="827"/>
      <c r="AI8" s="827">
        <v>455300000</v>
      </c>
      <c r="AJ8" s="827">
        <v>455300000</v>
      </c>
      <c r="AK8" s="827">
        <v>227650000</v>
      </c>
      <c r="AL8" s="827">
        <v>227650000</v>
      </c>
      <c r="AM8" s="827"/>
      <c r="AN8" s="827"/>
      <c r="AO8" s="827"/>
      <c r="AP8" s="827"/>
      <c r="AQ8" s="827"/>
      <c r="AR8" s="827"/>
      <c r="AS8" s="827"/>
      <c r="AT8" s="827"/>
      <c r="AU8" s="827"/>
      <c r="AV8" s="827"/>
      <c r="AW8" s="827"/>
      <c r="AX8" s="827"/>
      <c r="AY8" s="827"/>
      <c r="AZ8" s="827"/>
      <c r="BA8" s="827"/>
      <c r="BB8" s="827"/>
      <c r="BC8" s="827"/>
      <c r="BD8" s="827"/>
      <c r="BE8" s="827"/>
      <c r="BF8" s="827"/>
      <c r="BG8" s="827"/>
      <c r="BH8" s="827"/>
      <c r="BI8" s="827"/>
      <c r="BJ8" s="827"/>
      <c r="BK8" s="827"/>
      <c r="BL8" s="827"/>
      <c r="BM8" s="827"/>
      <c r="BN8" s="827"/>
      <c r="BO8" s="827"/>
      <c r="BP8" s="827"/>
      <c r="BQ8" s="827"/>
      <c r="BR8" s="827"/>
      <c r="BS8" s="827"/>
      <c r="BT8" s="827"/>
      <c r="BU8" s="827"/>
      <c r="BV8" s="827"/>
      <c r="BW8" s="827"/>
      <c r="BX8" s="827"/>
      <c r="BY8" s="827"/>
      <c r="BZ8" s="827"/>
      <c r="CA8" s="827"/>
      <c r="CB8" s="827"/>
      <c r="CC8" s="827"/>
      <c r="CD8" s="827"/>
      <c r="CE8" s="827"/>
      <c r="CF8" s="827"/>
      <c r="CG8" s="827"/>
      <c r="CH8" s="827"/>
      <c r="CI8" s="827"/>
      <c r="CJ8" s="827"/>
      <c r="CK8" s="827"/>
      <c r="CL8" s="827"/>
      <c r="CM8" s="834">
        <f>333997000+3000000</f>
        <v>336997000</v>
      </c>
      <c r="CN8" s="829">
        <v>333600000</v>
      </c>
      <c r="CO8" s="830">
        <v>322600000</v>
      </c>
      <c r="CP8" s="830">
        <v>322600000</v>
      </c>
      <c r="CQ8" s="829"/>
      <c r="CR8" s="829"/>
      <c r="CS8" s="831"/>
      <c r="CT8" s="831"/>
      <c r="CU8" s="829"/>
      <c r="CV8" s="829"/>
      <c r="CW8" s="831"/>
      <c r="CX8" s="831"/>
      <c r="CY8" s="829"/>
      <c r="CZ8" s="829"/>
      <c r="DA8" s="831"/>
      <c r="DB8" s="831"/>
      <c r="DC8" s="829"/>
      <c r="DD8" s="829"/>
      <c r="DE8" s="831"/>
      <c r="DF8" s="831"/>
      <c r="DG8" s="829"/>
      <c r="DH8" s="829"/>
      <c r="DI8" s="831"/>
      <c r="DJ8" s="831"/>
      <c r="DK8" s="829"/>
      <c r="DL8" s="829"/>
      <c r="DM8" s="831"/>
      <c r="DN8" s="831"/>
      <c r="DO8" s="829"/>
      <c r="DP8" s="829"/>
      <c r="DQ8" s="831"/>
      <c r="DR8" s="831"/>
      <c r="DS8" s="829"/>
      <c r="DT8" s="829"/>
      <c r="DU8" s="831"/>
      <c r="DV8" s="831"/>
      <c r="DW8" s="829"/>
      <c r="DX8" s="829"/>
      <c r="DY8" s="831"/>
      <c r="DZ8" s="831"/>
      <c r="EA8" s="828"/>
      <c r="EB8" s="828"/>
      <c r="EC8" s="827"/>
      <c r="ED8" s="827"/>
      <c r="EE8" s="832">
        <f t="shared" si="7"/>
        <v>792297000</v>
      </c>
      <c r="EF8" s="832">
        <f t="shared" si="7"/>
        <v>788900000</v>
      </c>
      <c r="EG8" s="832">
        <f t="shared" si="7"/>
        <v>550250000</v>
      </c>
      <c r="EH8" s="832">
        <f t="shared" si="7"/>
        <v>550250000</v>
      </c>
      <c r="EI8" s="833">
        <f t="shared" si="4"/>
        <v>0</v>
      </c>
      <c r="EK8" s="813"/>
    </row>
    <row r="9" spans="1:142" ht="21" customHeight="1" thickTop="1" thickBot="1" x14ac:dyDescent="0.3">
      <c r="A9" s="825" t="s">
        <v>1504</v>
      </c>
      <c r="B9" s="826">
        <f>+'Anexo 5.2. informe Gastos'!I57</f>
        <v>40000000</v>
      </c>
      <c r="C9" s="827"/>
      <c r="D9" s="827"/>
      <c r="E9" s="827"/>
      <c r="F9" s="827"/>
      <c r="G9" s="827"/>
      <c r="H9" s="827"/>
      <c r="I9" s="827"/>
      <c r="J9" s="827"/>
      <c r="K9" s="827"/>
      <c r="L9" s="827"/>
      <c r="M9" s="827"/>
      <c r="N9" s="827"/>
      <c r="O9" s="828"/>
      <c r="P9" s="828"/>
      <c r="Q9" s="827"/>
      <c r="R9" s="828"/>
      <c r="S9" s="828"/>
      <c r="T9" s="828"/>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c r="BD9" s="827"/>
      <c r="BE9" s="827"/>
      <c r="BF9" s="827"/>
      <c r="BG9" s="827"/>
      <c r="BH9" s="827"/>
      <c r="BI9" s="827"/>
      <c r="BJ9" s="827"/>
      <c r="BK9" s="827"/>
      <c r="BL9" s="827"/>
      <c r="BM9" s="827"/>
      <c r="BN9" s="827"/>
      <c r="BO9" s="827"/>
      <c r="BP9" s="827"/>
      <c r="BQ9" s="827"/>
      <c r="BR9" s="827"/>
      <c r="BS9" s="827"/>
      <c r="BT9" s="827"/>
      <c r="BU9" s="827"/>
      <c r="BV9" s="827"/>
      <c r="BW9" s="827"/>
      <c r="BX9" s="827"/>
      <c r="BY9" s="827"/>
      <c r="BZ9" s="827"/>
      <c r="CA9" s="827"/>
      <c r="CB9" s="827"/>
      <c r="CC9" s="827"/>
      <c r="CD9" s="827"/>
      <c r="CE9" s="827"/>
      <c r="CF9" s="827"/>
      <c r="CG9" s="827"/>
      <c r="CH9" s="827"/>
      <c r="CI9" s="827"/>
      <c r="CJ9" s="827"/>
      <c r="CK9" s="827"/>
      <c r="CL9" s="827"/>
      <c r="CM9" s="834">
        <v>5413481</v>
      </c>
      <c r="CN9" s="829">
        <v>5413481</v>
      </c>
      <c r="CO9" s="830">
        <v>5413481</v>
      </c>
      <c r="CP9" s="830">
        <v>5413481</v>
      </c>
      <c r="CQ9" s="834">
        <v>15000000</v>
      </c>
      <c r="CR9" s="834">
        <v>15000000</v>
      </c>
      <c r="CS9" s="834">
        <v>15000000</v>
      </c>
      <c r="CT9" s="834">
        <v>15000000</v>
      </c>
      <c r="CU9" s="834">
        <f>34586519-15000000</f>
        <v>19586519</v>
      </c>
      <c r="CV9" s="831">
        <f>30282796-15000000</f>
        <v>15282796</v>
      </c>
      <c r="CW9" s="831">
        <f t="shared" ref="CW9:CX9" si="12">30282796-15000000</f>
        <v>15282796</v>
      </c>
      <c r="CX9" s="831">
        <f t="shared" si="12"/>
        <v>15282796</v>
      </c>
      <c r="CY9" s="829"/>
      <c r="CZ9" s="829"/>
      <c r="DA9" s="831"/>
      <c r="DB9" s="831"/>
      <c r="DC9" s="829"/>
      <c r="DD9" s="829"/>
      <c r="DE9" s="831"/>
      <c r="DF9" s="831"/>
      <c r="DG9" s="831"/>
      <c r="DH9" s="829"/>
      <c r="DI9" s="831"/>
      <c r="DJ9" s="831"/>
      <c r="DK9" s="829"/>
      <c r="DL9" s="829"/>
      <c r="DM9" s="831"/>
      <c r="DN9" s="831"/>
      <c r="DO9" s="829"/>
      <c r="DP9" s="829"/>
      <c r="DQ9" s="831"/>
      <c r="DR9" s="831"/>
      <c r="DS9" s="829"/>
      <c r="DT9" s="829"/>
      <c r="DU9" s="831"/>
      <c r="DV9" s="831"/>
      <c r="DW9" s="829"/>
      <c r="DX9" s="829"/>
      <c r="DY9" s="831"/>
      <c r="DZ9" s="831"/>
      <c r="EA9" s="828"/>
      <c r="EB9" s="828"/>
      <c r="EC9" s="827"/>
      <c r="ED9" s="827"/>
      <c r="EE9" s="832">
        <f t="shared" si="7"/>
        <v>40000000</v>
      </c>
      <c r="EF9" s="832">
        <f t="shared" si="7"/>
        <v>35696277</v>
      </c>
      <c r="EG9" s="832">
        <f t="shared" si="7"/>
        <v>35696277</v>
      </c>
      <c r="EH9" s="832">
        <f t="shared" si="7"/>
        <v>35696277</v>
      </c>
      <c r="EI9" s="725">
        <f t="shared" si="4"/>
        <v>0</v>
      </c>
      <c r="EK9" s="813"/>
    </row>
    <row r="10" spans="1:142" ht="27" thickTop="1" thickBot="1" x14ac:dyDescent="0.3">
      <c r="A10" s="822" t="s">
        <v>1505</v>
      </c>
      <c r="B10" s="823">
        <f t="shared" ref="B10:BM10" si="13">SUM(B11:B13)</f>
        <v>4931505166</v>
      </c>
      <c r="C10" s="823">
        <f t="shared" si="13"/>
        <v>0</v>
      </c>
      <c r="D10" s="823">
        <f t="shared" si="13"/>
        <v>0</v>
      </c>
      <c r="E10" s="823">
        <f t="shared" si="13"/>
        <v>0</v>
      </c>
      <c r="F10" s="823">
        <f t="shared" si="13"/>
        <v>0</v>
      </c>
      <c r="G10" s="823">
        <f t="shared" si="13"/>
        <v>0</v>
      </c>
      <c r="H10" s="823">
        <f t="shared" si="13"/>
        <v>0</v>
      </c>
      <c r="I10" s="823">
        <f t="shared" si="13"/>
        <v>0</v>
      </c>
      <c r="J10" s="823">
        <f t="shared" si="13"/>
        <v>0</v>
      </c>
      <c r="K10" s="823">
        <f t="shared" si="13"/>
        <v>0</v>
      </c>
      <c r="L10" s="823">
        <f t="shared" si="13"/>
        <v>0</v>
      </c>
      <c r="M10" s="823">
        <f t="shared" si="13"/>
        <v>0</v>
      </c>
      <c r="N10" s="823">
        <f t="shared" si="13"/>
        <v>0</v>
      </c>
      <c r="O10" s="823">
        <f t="shared" si="13"/>
        <v>0</v>
      </c>
      <c r="P10" s="823">
        <f t="shared" si="13"/>
        <v>0</v>
      </c>
      <c r="Q10" s="823">
        <f t="shared" si="13"/>
        <v>0</v>
      </c>
      <c r="R10" s="823">
        <f t="shared" si="13"/>
        <v>0</v>
      </c>
      <c r="S10" s="823">
        <f t="shared" si="13"/>
        <v>0</v>
      </c>
      <c r="T10" s="823">
        <f t="shared" si="13"/>
        <v>0</v>
      </c>
      <c r="U10" s="823">
        <f t="shared" si="13"/>
        <v>0</v>
      </c>
      <c r="V10" s="823">
        <f t="shared" si="13"/>
        <v>0</v>
      </c>
      <c r="W10" s="823">
        <f t="shared" si="13"/>
        <v>0</v>
      </c>
      <c r="X10" s="823">
        <f t="shared" si="13"/>
        <v>0</v>
      </c>
      <c r="Y10" s="823">
        <f t="shared" si="13"/>
        <v>0</v>
      </c>
      <c r="Z10" s="823">
        <f t="shared" si="13"/>
        <v>0</v>
      </c>
      <c r="AA10" s="823">
        <f t="shared" si="13"/>
        <v>0</v>
      </c>
      <c r="AB10" s="823">
        <f t="shared" si="13"/>
        <v>0</v>
      </c>
      <c r="AC10" s="823">
        <f t="shared" si="13"/>
        <v>0</v>
      </c>
      <c r="AD10" s="823">
        <f t="shared" si="13"/>
        <v>0</v>
      </c>
      <c r="AE10" s="823">
        <f t="shared" si="13"/>
        <v>313302722</v>
      </c>
      <c r="AF10" s="823">
        <f t="shared" si="13"/>
        <v>313302322</v>
      </c>
      <c r="AG10" s="823">
        <f t="shared" si="13"/>
        <v>175282000</v>
      </c>
      <c r="AH10" s="823">
        <f t="shared" si="13"/>
        <v>175282000</v>
      </c>
      <c r="AI10" s="823">
        <f t="shared" si="13"/>
        <v>854625678</v>
      </c>
      <c r="AJ10" s="823">
        <f t="shared" si="13"/>
        <v>854625678</v>
      </c>
      <c r="AK10" s="823">
        <f t="shared" si="13"/>
        <v>408682000</v>
      </c>
      <c r="AL10" s="823">
        <f t="shared" si="13"/>
        <v>408682000</v>
      </c>
      <c r="AM10" s="823">
        <f t="shared" si="13"/>
        <v>0</v>
      </c>
      <c r="AN10" s="823">
        <f t="shared" si="13"/>
        <v>0</v>
      </c>
      <c r="AO10" s="823">
        <f t="shared" si="13"/>
        <v>0</v>
      </c>
      <c r="AP10" s="823">
        <f t="shared" si="13"/>
        <v>0</v>
      </c>
      <c r="AQ10" s="823">
        <f t="shared" si="13"/>
        <v>0</v>
      </c>
      <c r="AR10" s="823">
        <f t="shared" si="13"/>
        <v>0</v>
      </c>
      <c r="AS10" s="823">
        <f t="shared" si="13"/>
        <v>0</v>
      </c>
      <c r="AT10" s="823">
        <f t="shared" si="13"/>
        <v>0</v>
      </c>
      <c r="AU10" s="823">
        <f t="shared" si="13"/>
        <v>0</v>
      </c>
      <c r="AV10" s="823">
        <f t="shared" si="13"/>
        <v>0</v>
      </c>
      <c r="AW10" s="823">
        <f t="shared" si="13"/>
        <v>0</v>
      </c>
      <c r="AX10" s="823">
        <f t="shared" si="13"/>
        <v>0</v>
      </c>
      <c r="AY10" s="823">
        <f t="shared" si="13"/>
        <v>0</v>
      </c>
      <c r="AZ10" s="823">
        <f t="shared" si="13"/>
        <v>0</v>
      </c>
      <c r="BA10" s="823">
        <f t="shared" si="13"/>
        <v>0</v>
      </c>
      <c r="BB10" s="823">
        <f t="shared" si="13"/>
        <v>0</v>
      </c>
      <c r="BC10" s="823">
        <f t="shared" si="13"/>
        <v>0</v>
      </c>
      <c r="BD10" s="823">
        <f t="shared" si="13"/>
        <v>0</v>
      </c>
      <c r="BE10" s="823">
        <f t="shared" si="13"/>
        <v>0</v>
      </c>
      <c r="BF10" s="823">
        <f t="shared" si="13"/>
        <v>0</v>
      </c>
      <c r="BG10" s="823">
        <f t="shared" si="13"/>
        <v>0</v>
      </c>
      <c r="BH10" s="823">
        <f t="shared" si="13"/>
        <v>0</v>
      </c>
      <c r="BI10" s="823">
        <f t="shared" si="13"/>
        <v>0</v>
      </c>
      <c r="BJ10" s="823">
        <f t="shared" si="13"/>
        <v>0</v>
      </c>
      <c r="BK10" s="823">
        <f t="shared" si="13"/>
        <v>0</v>
      </c>
      <c r="BL10" s="823">
        <f t="shared" si="13"/>
        <v>0</v>
      </c>
      <c r="BM10" s="823">
        <f t="shared" si="13"/>
        <v>0</v>
      </c>
      <c r="BN10" s="823">
        <f t="shared" ref="BN10:ED10" si="14">SUM(BN11:BN13)</f>
        <v>0</v>
      </c>
      <c r="BO10" s="823">
        <f t="shared" si="14"/>
        <v>0</v>
      </c>
      <c r="BP10" s="823">
        <f t="shared" si="14"/>
        <v>0</v>
      </c>
      <c r="BQ10" s="823">
        <f t="shared" si="14"/>
        <v>0</v>
      </c>
      <c r="BR10" s="823">
        <f t="shared" si="14"/>
        <v>0</v>
      </c>
      <c r="BS10" s="823">
        <f t="shared" si="14"/>
        <v>0</v>
      </c>
      <c r="BT10" s="823">
        <f t="shared" si="14"/>
        <v>0</v>
      </c>
      <c r="BU10" s="823">
        <f t="shared" si="14"/>
        <v>0</v>
      </c>
      <c r="BV10" s="823">
        <f t="shared" si="14"/>
        <v>0</v>
      </c>
      <c r="BW10" s="823">
        <f t="shared" si="14"/>
        <v>0</v>
      </c>
      <c r="BX10" s="823">
        <f t="shared" si="14"/>
        <v>0</v>
      </c>
      <c r="BY10" s="823">
        <f t="shared" si="14"/>
        <v>0</v>
      </c>
      <c r="BZ10" s="823">
        <f t="shared" si="14"/>
        <v>0</v>
      </c>
      <c r="CA10" s="823">
        <f t="shared" si="14"/>
        <v>0</v>
      </c>
      <c r="CB10" s="823">
        <f t="shared" si="14"/>
        <v>0</v>
      </c>
      <c r="CC10" s="823">
        <f t="shared" si="14"/>
        <v>0</v>
      </c>
      <c r="CD10" s="823">
        <f t="shared" si="14"/>
        <v>0</v>
      </c>
      <c r="CE10" s="823">
        <f t="shared" si="14"/>
        <v>0</v>
      </c>
      <c r="CF10" s="823">
        <f t="shared" si="14"/>
        <v>0</v>
      </c>
      <c r="CG10" s="823">
        <f t="shared" si="14"/>
        <v>0</v>
      </c>
      <c r="CH10" s="823">
        <f t="shared" si="14"/>
        <v>0</v>
      </c>
      <c r="CI10" s="823">
        <f t="shared" si="14"/>
        <v>0</v>
      </c>
      <c r="CJ10" s="823">
        <f t="shared" si="14"/>
        <v>0</v>
      </c>
      <c r="CK10" s="823">
        <f t="shared" si="14"/>
        <v>0</v>
      </c>
      <c r="CL10" s="823">
        <f t="shared" si="14"/>
        <v>0</v>
      </c>
      <c r="CM10" s="823">
        <f t="shared" si="14"/>
        <v>160856000</v>
      </c>
      <c r="CN10" s="823">
        <f t="shared" si="14"/>
        <v>152356456</v>
      </c>
      <c r="CO10" s="823">
        <f t="shared" si="14"/>
        <v>152356456</v>
      </c>
      <c r="CP10" s="823">
        <f t="shared" si="14"/>
        <v>152356456</v>
      </c>
      <c r="CQ10" s="823">
        <f t="shared" si="14"/>
        <v>0</v>
      </c>
      <c r="CR10" s="823">
        <f t="shared" si="14"/>
        <v>0</v>
      </c>
      <c r="CS10" s="823">
        <f t="shared" si="14"/>
        <v>0</v>
      </c>
      <c r="CT10" s="823">
        <f t="shared" si="14"/>
        <v>0</v>
      </c>
      <c r="CU10" s="823">
        <f t="shared" si="14"/>
        <v>0</v>
      </c>
      <c r="CV10" s="823">
        <f t="shared" si="14"/>
        <v>0</v>
      </c>
      <c r="CW10" s="823">
        <f t="shared" si="14"/>
        <v>0</v>
      </c>
      <c r="CX10" s="823">
        <f t="shared" si="14"/>
        <v>0</v>
      </c>
      <c r="CY10" s="823">
        <f t="shared" si="14"/>
        <v>0</v>
      </c>
      <c r="CZ10" s="823">
        <f t="shared" si="14"/>
        <v>0</v>
      </c>
      <c r="DA10" s="823">
        <f t="shared" si="14"/>
        <v>0</v>
      </c>
      <c r="DB10" s="823">
        <f t="shared" si="14"/>
        <v>0</v>
      </c>
      <c r="DC10" s="823">
        <f t="shared" si="14"/>
        <v>0</v>
      </c>
      <c r="DD10" s="823">
        <f t="shared" si="14"/>
        <v>0</v>
      </c>
      <c r="DE10" s="823">
        <f t="shared" si="14"/>
        <v>0</v>
      </c>
      <c r="DF10" s="823">
        <f t="shared" si="14"/>
        <v>0</v>
      </c>
      <c r="DG10" s="823">
        <f t="shared" si="14"/>
        <v>0</v>
      </c>
      <c r="DH10" s="823">
        <f t="shared" si="14"/>
        <v>0</v>
      </c>
      <c r="DI10" s="823">
        <f t="shared" si="14"/>
        <v>0</v>
      </c>
      <c r="DJ10" s="823">
        <f t="shared" si="14"/>
        <v>0</v>
      </c>
      <c r="DK10" s="823">
        <f t="shared" si="14"/>
        <v>0</v>
      </c>
      <c r="DL10" s="823">
        <f t="shared" si="14"/>
        <v>0</v>
      </c>
      <c r="DM10" s="823">
        <f t="shared" si="14"/>
        <v>0</v>
      </c>
      <c r="DN10" s="823">
        <f t="shared" si="14"/>
        <v>0</v>
      </c>
      <c r="DO10" s="823">
        <f t="shared" si="14"/>
        <v>3602720766</v>
      </c>
      <c r="DP10" s="823">
        <f t="shared" si="14"/>
        <v>3602609212</v>
      </c>
      <c r="DQ10" s="823">
        <f t="shared" si="14"/>
        <v>460234023</v>
      </c>
      <c r="DR10" s="823">
        <f t="shared" si="14"/>
        <v>460234023</v>
      </c>
      <c r="DS10" s="823">
        <f t="shared" si="14"/>
        <v>0</v>
      </c>
      <c r="DT10" s="823">
        <f t="shared" si="14"/>
        <v>0</v>
      </c>
      <c r="DU10" s="823">
        <f t="shared" si="14"/>
        <v>0</v>
      </c>
      <c r="DV10" s="823">
        <f t="shared" si="14"/>
        <v>0</v>
      </c>
      <c r="DW10" s="823">
        <f t="shared" si="14"/>
        <v>0</v>
      </c>
      <c r="DX10" s="823">
        <f t="shared" si="14"/>
        <v>0</v>
      </c>
      <c r="DY10" s="823">
        <f t="shared" si="14"/>
        <v>0</v>
      </c>
      <c r="DZ10" s="823">
        <f t="shared" si="14"/>
        <v>0</v>
      </c>
      <c r="EA10" s="823">
        <f t="shared" si="14"/>
        <v>0</v>
      </c>
      <c r="EB10" s="823">
        <f t="shared" si="14"/>
        <v>0</v>
      </c>
      <c r="EC10" s="823">
        <f t="shared" si="14"/>
        <v>0</v>
      </c>
      <c r="ED10" s="823">
        <f t="shared" si="14"/>
        <v>0</v>
      </c>
      <c r="EE10" s="810">
        <f>+C10+G10+K10+O10+S10+W10+AA10+AE10+AI10+AM10+AQ10+AU10+AY10+BC10+BG10+BK10+BO10+BS10+BW10+CA10+CE10+CI10+CM10+CQ10+CU10+CY10+DC10+DG10+DK10+DO10+EA10+DS10+DW10</f>
        <v>4931505166</v>
      </c>
      <c r="EF10" s="810">
        <f>+D10+H10+L10+P10+T10+X10+AB10+AF10+AJ10+AN10+AR10+AV10+AZ10+BD10+BH10+BL10+BP10+BT10+BX10+CB10+CF10+CJ10+CN10+CR10+CV10+CZ10+DD10+DH10+DL10+DP10+EB10+DT10+DX10</f>
        <v>4922893668</v>
      </c>
      <c r="EG10" s="810">
        <f>+E10+I10+M10+Q10+U10+Y10+AC10+AG10+AK10+AO10+AS10+AW10+BA10+BE10+BI10+BM10+BQ10+BU10+BY10+CC10+CG10+CK10+CO10+CS10+CW10+DA10+DE10+DI10+DM10+DQ10+EC10+DU10+DY10</f>
        <v>1196554479</v>
      </c>
      <c r="EH10" s="810">
        <f>+F10+J10+N10+R10+V10+Z10+AD10+AH10+AL10+AP10+AT10+AX10+BB10+BF10+BJ10+BN10+BR10+BV10+BZ10+CD10+CH10+CL10+CP10+CT10+CX10+DB10+DF10+DJ10+DN10+DR10+ED10+DV10+DZ10</f>
        <v>1196554479</v>
      </c>
      <c r="EI10" s="824">
        <f t="shared" si="4"/>
        <v>0</v>
      </c>
      <c r="EK10" s="813"/>
    </row>
    <row r="11" spans="1:142" ht="27" thickTop="1" thickBot="1" x14ac:dyDescent="0.3">
      <c r="A11" s="825" t="s">
        <v>1507</v>
      </c>
      <c r="B11" s="826">
        <f>+'Anexo 5.2. informe Gastos'!I61</f>
        <v>15000000</v>
      </c>
      <c r="C11" s="827"/>
      <c r="D11" s="827"/>
      <c r="E11" s="827"/>
      <c r="F11" s="827"/>
      <c r="G11" s="827"/>
      <c r="H11" s="827"/>
      <c r="I11" s="827"/>
      <c r="J11" s="827"/>
      <c r="K11" s="827"/>
      <c r="L11" s="827"/>
      <c r="M11" s="827"/>
      <c r="N11" s="827"/>
      <c r="O11" s="828"/>
      <c r="P11" s="828"/>
      <c r="Q11" s="827"/>
      <c r="R11" s="828"/>
      <c r="S11" s="828"/>
      <c r="T11" s="828"/>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7"/>
      <c r="CE11" s="827"/>
      <c r="CF11" s="827"/>
      <c r="CG11" s="827"/>
      <c r="CH11" s="827"/>
      <c r="CI11" s="827"/>
      <c r="CJ11" s="827"/>
      <c r="CK11" s="827"/>
      <c r="CL11" s="827"/>
      <c r="CM11" s="898">
        <v>15000000</v>
      </c>
      <c r="CN11" s="836">
        <v>6501456</v>
      </c>
      <c r="CO11" s="831">
        <v>6501456</v>
      </c>
      <c r="CP11" s="831">
        <v>6501456</v>
      </c>
      <c r="CQ11" s="836"/>
      <c r="CR11" s="836"/>
      <c r="CS11" s="831"/>
      <c r="CT11" s="831"/>
      <c r="CU11" s="836"/>
      <c r="CV11" s="836"/>
      <c r="CW11" s="831"/>
      <c r="CX11" s="831"/>
      <c r="CY11" s="836"/>
      <c r="CZ11" s="836"/>
      <c r="DA11" s="831"/>
      <c r="DB11" s="831"/>
      <c r="DC11" s="836"/>
      <c r="DD11" s="836"/>
      <c r="DE11" s="831"/>
      <c r="DF11" s="831"/>
      <c r="DG11" s="836"/>
      <c r="DH11" s="836"/>
      <c r="DI11" s="831"/>
      <c r="DJ11" s="831"/>
      <c r="DK11" s="836"/>
      <c r="DL11" s="836"/>
      <c r="DM11" s="831"/>
      <c r="DN11" s="831"/>
      <c r="DO11" s="836"/>
      <c r="DP11" s="836"/>
      <c r="DQ11" s="831"/>
      <c r="DR11" s="831"/>
      <c r="DS11" s="836"/>
      <c r="DT11" s="836"/>
      <c r="DU11" s="831"/>
      <c r="DV11" s="831"/>
      <c r="DW11" s="836"/>
      <c r="DX11" s="836"/>
      <c r="DY11" s="831"/>
      <c r="DZ11" s="831"/>
      <c r="EA11" s="828"/>
      <c r="EB11" s="828"/>
      <c r="EC11" s="827"/>
      <c r="ED11" s="827"/>
      <c r="EE11" s="832">
        <f t="shared" ref="EE11:EH13" si="15">+C11+G11+K11+O11+S11+W11+AA11+AE11+AI11+AM11+AQ11+AU11+AY11+BC11+BG11+BK11+BO11+BS11+BW11+CA11+CE11+CI11+CM11+CQ11+CU11+CY11+DC11+DG11+DK11+DO11+EA11+DS11+DW11</f>
        <v>15000000</v>
      </c>
      <c r="EF11" s="832">
        <f t="shared" si="15"/>
        <v>6501456</v>
      </c>
      <c r="EG11" s="832">
        <f t="shared" si="15"/>
        <v>6501456</v>
      </c>
      <c r="EH11" s="832">
        <f t="shared" si="15"/>
        <v>6501456</v>
      </c>
      <c r="EI11" s="725">
        <f t="shared" si="4"/>
        <v>0</v>
      </c>
      <c r="EK11" s="813"/>
    </row>
    <row r="12" spans="1:142" ht="16.5" thickTop="1" thickBot="1" x14ac:dyDescent="0.3">
      <c r="A12" s="825" t="s">
        <v>1508</v>
      </c>
      <c r="B12" s="826">
        <f>+'Anexo 5.2. informe Gastos'!I62</f>
        <v>145856000</v>
      </c>
      <c r="C12" s="827"/>
      <c r="D12" s="827"/>
      <c r="E12" s="827"/>
      <c r="F12" s="827"/>
      <c r="G12" s="827"/>
      <c r="H12" s="827"/>
      <c r="I12" s="827"/>
      <c r="J12" s="827"/>
      <c r="K12" s="827"/>
      <c r="L12" s="827"/>
      <c r="M12" s="827"/>
      <c r="N12" s="827"/>
      <c r="O12" s="828"/>
      <c r="P12" s="828"/>
      <c r="Q12" s="827"/>
      <c r="R12" s="828"/>
      <c r="S12" s="828"/>
      <c r="T12" s="828"/>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27"/>
      <c r="BG12" s="827"/>
      <c r="BH12" s="827"/>
      <c r="BI12" s="827"/>
      <c r="BJ12" s="827"/>
      <c r="BK12" s="827"/>
      <c r="BL12" s="827"/>
      <c r="BM12" s="827"/>
      <c r="BN12" s="827"/>
      <c r="BO12" s="827"/>
      <c r="BP12" s="827"/>
      <c r="BQ12" s="827"/>
      <c r="BR12" s="827"/>
      <c r="BS12" s="827"/>
      <c r="BT12" s="827"/>
      <c r="BU12" s="827"/>
      <c r="BV12" s="827"/>
      <c r="BW12" s="827"/>
      <c r="BX12" s="827"/>
      <c r="BY12" s="827"/>
      <c r="BZ12" s="827"/>
      <c r="CA12" s="827"/>
      <c r="CB12" s="827"/>
      <c r="CC12" s="827"/>
      <c r="CD12" s="827"/>
      <c r="CE12" s="827"/>
      <c r="CF12" s="827"/>
      <c r="CG12" s="827"/>
      <c r="CH12" s="827"/>
      <c r="CI12" s="827"/>
      <c r="CJ12" s="827"/>
      <c r="CK12" s="827"/>
      <c r="CL12" s="827"/>
      <c r="CM12" s="898">
        <v>145856000</v>
      </c>
      <c r="CN12" s="836">
        <v>145855000</v>
      </c>
      <c r="CO12" s="831">
        <v>145855000</v>
      </c>
      <c r="CP12" s="831">
        <v>145855000</v>
      </c>
      <c r="CQ12" s="836"/>
      <c r="CR12" s="836"/>
      <c r="CS12" s="831"/>
      <c r="CT12" s="831"/>
      <c r="CU12" s="836"/>
      <c r="CV12" s="836"/>
      <c r="CW12" s="831"/>
      <c r="CX12" s="831"/>
      <c r="CY12" s="836"/>
      <c r="CZ12" s="836"/>
      <c r="DA12" s="831"/>
      <c r="DB12" s="831"/>
      <c r="DC12" s="836"/>
      <c r="DD12" s="836"/>
      <c r="DE12" s="831"/>
      <c r="DF12" s="831"/>
      <c r="DG12" s="836"/>
      <c r="DH12" s="836"/>
      <c r="DI12" s="831"/>
      <c r="DJ12" s="831"/>
      <c r="DK12" s="836"/>
      <c r="DL12" s="836"/>
      <c r="DM12" s="831"/>
      <c r="DN12" s="831"/>
      <c r="DO12" s="836"/>
      <c r="DP12" s="836"/>
      <c r="DQ12" s="831"/>
      <c r="DR12" s="831"/>
      <c r="DS12" s="836"/>
      <c r="DT12" s="836"/>
      <c r="DU12" s="831"/>
      <c r="DV12" s="831"/>
      <c r="DW12" s="836"/>
      <c r="DX12" s="836"/>
      <c r="DY12" s="831"/>
      <c r="DZ12" s="831"/>
      <c r="EA12" s="828"/>
      <c r="EB12" s="828"/>
      <c r="EC12" s="827"/>
      <c r="ED12" s="827"/>
      <c r="EE12" s="832">
        <f t="shared" si="15"/>
        <v>145856000</v>
      </c>
      <c r="EF12" s="832">
        <f t="shared" si="15"/>
        <v>145855000</v>
      </c>
      <c r="EG12" s="832">
        <f t="shared" si="15"/>
        <v>145855000</v>
      </c>
      <c r="EH12" s="832">
        <f t="shared" si="15"/>
        <v>145855000</v>
      </c>
      <c r="EI12" s="725">
        <f t="shared" si="4"/>
        <v>0</v>
      </c>
      <c r="EK12" s="813"/>
    </row>
    <row r="13" spans="1:142" ht="16.5" thickTop="1" thickBot="1" x14ac:dyDescent="0.3">
      <c r="A13" s="825" t="s">
        <v>1509</v>
      </c>
      <c r="B13" s="826">
        <f>+'Anexo 5.2. informe Gastos'!I63</f>
        <v>4770649166</v>
      </c>
      <c r="C13" s="827"/>
      <c r="D13" s="827"/>
      <c r="E13" s="827"/>
      <c r="F13" s="827"/>
      <c r="G13" s="827"/>
      <c r="H13" s="827"/>
      <c r="I13" s="827"/>
      <c r="J13" s="827"/>
      <c r="K13" s="827"/>
      <c r="L13" s="827"/>
      <c r="M13" s="827"/>
      <c r="N13" s="827"/>
      <c r="O13" s="828"/>
      <c r="P13" s="828"/>
      <c r="Q13" s="827"/>
      <c r="R13" s="828"/>
      <c r="S13" s="828"/>
      <c r="T13" s="828"/>
      <c r="U13" s="827"/>
      <c r="V13" s="827"/>
      <c r="W13" s="827"/>
      <c r="X13" s="827"/>
      <c r="Y13" s="827"/>
      <c r="Z13" s="827"/>
      <c r="AA13" s="827"/>
      <c r="AB13" s="827"/>
      <c r="AC13" s="827"/>
      <c r="AD13" s="827"/>
      <c r="AE13" s="827">
        <v>313302722</v>
      </c>
      <c r="AF13" s="827">
        <v>313302322</v>
      </c>
      <c r="AG13" s="827">
        <v>175282000</v>
      </c>
      <c r="AH13" s="827">
        <v>175282000</v>
      </c>
      <c r="AI13" s="827">
        <v>854625678</v>
      </c>
      <c r="AJ13" s="827">
        <v>854625678</v>
      </c>
      <c r="AK13" s="827">
        <v>408682000</v>
      </c>
      <c r="AL13" s="827">
        <v>408682000</v>
      </c>
      <c r="AM13" s="827"/>
      <c r="AN13" s="827"/>
      <c r="AO13" s="827"/>
      <c r="AP13" s="827"/>
      <c r="AQ13" s="827"/>
      <c r="AR13" s="827"/>
      <c r="AS13" s="827"/>
      <c r="AT13" s="827"/>
      <c r="AU13" s="827"/>
      <c r="AV13" s="827"/>
      <c r="AW13" s="827"/>
      <c r="AX13" s="827"/>
      <c r="AY13" s="827"/>
      <c r="AZ13" s="827"/>
      <c r="BA13" s="827"/>
      <c r="BB13" s="827"/>
      <c r="BC13" s="827"/>
      <c r="BD13" s="827"/>
      <c r="BE13" s="827"/>
      <c r="BF13" s="827"/>
      <c r="BG13" s="827"/>
      <c r="BH13" s="827"/>
      <c r="BI13" s="827"/>
      <c r="BJ13" s="827"/>
      <c r="BK13" s="827"/>
      <c r="BL13" s="827"/>
      <c r="BM13" s="827"/>
      <c r="BN13" s="827"/>
      <c r="BO13" s="827"/>
      <c r="BP13" s="827"/>
      <c r="BQ13" s="827"/>
      <c r="BR13" s="827"/>
      <c r="BS13" s="827"/>
      <c r="BT13" s="827"/>
      <c r="BU13" s="827"/>
      <c r="BV13" s="827"/>
      <c r="BW13" s="827"/>
      <c r="BX13" s="827"/>
      <c r="BY13" s="827"/>
      <c r="BZ13" s="827"/>
      <c r="CA13" s="827"/>
      <c r="CB13" s="827"/>
      <c r="CC13" s="827"/>
      <c r="CD13" s="827"/>
      <c r="CE13" s="827"/>
      <c r="CF13" s="827"/>
      <c r="CG13" s="827"/>
      <c r="CH13" s="827"/>
      <c r="CI13" s="827"/>
      <c r="CJ13" s="827"/>
      <c r="CK13" s="827"/>
      <c r="CL13" s="827"/>
      <c r="CM13" s="836"/>
      <c r="CN13" s="836">
        <v>0</v>
      </c>
      <c r="CO13" s="837">
        <v>0</v>
      </c>
      <c r="CP13" s="837">
        <v>0</v>
      </c>
      <c r="CQ13" s="836"/>
      <c r="CR13" s="836"/>
      <c r="CS13" s="837"/>
      <c r="CT13" s="837"/>
      <c r="CU13" s="836"/>
      <c r="CV13" s="836"/>
      <c r="CW13" s="837"/>
      <c r="CX13" s="837"/>
      <c r="CY13" s="836"/>
      <c r="CZ13" s="836"/>
      <c r="DA13" s="837"/>
      <c r="DB13" s="837"/>
      <c r="DC13" s="836"/>
      <c r="DD13" s="836"/>
      <c r="DE13" s="837"/>
      <c r="DF13" s="837"/>
      <c r="DG13" s="836"/>
      <c r="DH13" s="836"/>
      <c r="DI13" s="837"/>
      <c r="DJ13" s="837"/>
      <c r="DK13" s="836"/>
      <c r="DL13" s="836"/>
      <c r="DM13" s="837"/>
      <c r="DN13" s="837"/>
      <c r="DO13" s="835">
        <v>3602720766</v>
      </c>
      <c r="DP13" s="836">
        <v>3602609212</v>
      </c>
      <c r="DQ13" s="837">
        <v>460234023</v>
      </c>
      <c r="DR13" s="837">
        <v>460234023</v>
      </c>
      <c r="DS13" s="836"/>
      <c r="DT13" s="836"/>
      <c r="DU13" s="831"/>
      <c r="DV13" s="831"/>
      <c r="DW13" s="836"/>
      <c r="DX13" s="836"/>
      <c r="DY13" s="831"/>
      <c r="DZ13" s="831"/>
      <c r="EA13" s="828"/>
      <c r="EB13" s="828"/>
      <c r="EC13" s="827"/>
      <c r="ED13" s="827"/>
      <c r="EE13" s="832">
        <f t="shared" si="15"/>
        <v>4770649166</v>
      </c>
      <c r="EF13" s="832">
        <f t="shared" si="15"/>
        <v>4770537212</v>
      </c>
      <c r="EG13" s="832">
        <f t="shared" si="15"/>
        <v>1044198023</v>
      </c>
      <c r="EH13" s="832">
        <f t="shared" si="15"/>
        <v>1044198023</v>
      </c>
      <c r="EI13" s="725">
        <f t="shared" si="4"/>
        <v>0</v>
      </c>
      <c r="EK13" s="813"/>
    </row>
    <row r="14" spans="1:142" ht="37.5" customHeight="1" thickTop="1" thickBot="1" x14ac:dyDescent="0.3">
      <c r="A14" s="814" t="s">
        <v>2025</v>
      </c>
      <c r="B14" s="815">
        <f>+B15+B33+B45+B55+B58+B69+B77</f>
        <v>178277974916</v>
      </c>
      <c r="C14" s="815">
        <f>+C15+C33+C45+C55+C58+C69+C77</f>
        <v>876906432</v>
      </c>
      <c r="D14" s="815">
        <f t="shared" ref="D14:BO14" si="16">+D15+D33+D45+D55+D58+D69+D77</f>
        <v>493026593</v>
      </c>
      <c r="E14" s="815">
        <f t="shared" si="16"/>
        <v>243200000</v>
      </c>
      <c r="F14" s="815">
        <f t="shared" si="16"/>
        <v>243200000</v>
      </c>
      <c r="G14" s="815">
        <f t="shared" si="16"/>
        <v>56411629</v>
      </c>
      <c r="H14" s="815">
        <f t="shared" si="16"/>
        <v>0</v>
      </c>
      <c r="I14" s="815">
        <f t="shared" si="16"/>
        <v>0</v>
      </c>
      <c r="J14" s="815">
        <f t="shared" si="16"/>
        <v>0</v>
      </c>
      <c r="K14" s="815">
        <f t="shared" si="16"/>
        <v>36008757</v>
      </c>
      <c r="L14" s="815">
        <f t="shared" si="16"/>
        <v>0</v>
      </c>
      <c r="M14" s="815">
        <f t="shared" si="16"/>
        <v>0</v>
      </c>
      <c r="N14" s="815">
        <f t="shared" si="16"/>
        <v>0</v>
      </c>
      <c r="O14" s="815">
        <f t="shared" si="16"/>
        <v>1633680</v>
      </c>
      <c r="P14" s="815">
        <f t="shared" si="16"/>
        <v>0</v>
      </c>
      <c r="Q14" s="815">
        <f t="shared" si="16"/>
        <v>0</v>
      </c>
      <c r="R14" s="815">
        <f t="shared" si="16"/>
        <v>0</v>
      </c>
      <c r="S14" s="815">
        <f t="shared" si="16"/>
        <v>31197109</v>
      </c>
      <c r="T14" s="815">
        <f t="shared" si="16"/>
        <v>0</v>
      </c>
      <c r="U14" s="815">
        <f t="shared" si="16"/>
        <v>0</v>
      </c>
      <c r="V14" s="815">
        <f t="shared" si="16"/>
        <v>0</v>
      </c>
      <c r="W14" s="815">
        <f t="shared" si="16"/>
        <v>54219081</v>
      </c>
      <c r="X14" s="815">
        <f t="shared" si="16"/>
        <v>0</v>
      </c>
      <c r="Y14" s="815">
        <f t="shared" si="16"/>
        <v>0</v>
      </c>
      <c r="Z14" s="815">
        <f t="shared" si="16"/>
        <v>0</v>
      </c>
      <c r="AA14" s="815">
        <f t="shared" si="16"/>
        <v>595498071</v>
      </c>
      <c r="AB14" s="815">
        <f t="shared" si="16"/>
        <v>488316167</v>
      </c>
      <c r="AC14" s="815">
        <f t="shared" si="16"/>
        <v>240276858</v>
      </c>
      <c r="AD14" s="815">
        <f t="shared" si="16"/>
        <v>240276858</v>
      </c>
      <c r="AE14" s="815">
        <f t="shared" si="16"/>
        <v>580109028</v>
      </c>
      <c r="AF14" s="815">
        <f t="shared" si="16"/>
        <v>0</v>
      </c>
      <c r="AG14" s="815">
        <f t="shared" si="16"/>
        <v>0</v>
      </c>
      <c r="AH14" s="815">
        <f t="shared" si="16"/>
        <v>0</v>
      </c>
      <c r="AI14" s="815">
        <f t="shared" si="16"/>
        <v>0</v>
      </c>
      <c r="AJ14" s="815">
        <f t="shared" si="16"/>
        <v>0</v>
      </c>
      <c r="AK14" s="815">
        <f t="shared" si="16"/>
        <v>0</v>
      </c>
      <c r="AL14" s="815">
        <f t="shared" si="16"/>
        <v>0</v>
      </c>
      <c r="AM14" s="815">
        <f t="shared" si="16"/>
        <v>571639809</v>
      </c>
      <c r="AN14" s="815">
        <f t="shared" si="16"/>
        <v>569704130</v>
      </c>
      <c r="AO14" s="815">
        <f t="shared" si="16"/>
        <v>569704130</v>
      </c>
      <c r="AP14" s="815">
        <f t="shared" si="16"/>
        <v>569704130</v>
      </c>
      <c r="AQ14" s="815">
        <f t="shared" si="16"/>
        <v>4185349680</v>
      </c>
      <c r="AR14" s="815">
        <f t="shared" si="16"/>
        <v>1399351584</v>
      </c>
      <c r="AS14" s="815">
        <f t="shared" si="16"/>
        <v>593630000</v>
      </c>
      <c r="AT14" s="815">
        <f t="shared" si="16"/>
        <v>593630000</v>
      </c>
      <c r="AU14" s="815">
        <f t="shared" si="16"/>
        <v>30823104</v>
      </c>
      <c r="AV14" s="815">
        <f t="shared" si="16"/>
        <v>0</v>
      </c>
      <c r="AW14" s="815">
        <f t="shared" si="16"/>
        <v>0</v>
      </c>
      <c r="AX14" s="815">
        <f t="shared" si="16"/>
        <v>0</v>
      </c>
      <c r="AY14" s="815">
        <f t="shared" si="16"/>
        <v>1062809</v>
      </c>
      <c r="AZ14" s="815">
        <f t="shared" si="16"/>
        <v>0</v>
      </c>
      <c r="BA14" s="815">
        <f t="shared" si="16"/>
        <v>0</v>
      </c>
      <c r="BB14" s="815">
        <f t="shared" si="16"/>
        <v>0</v>
      </c>
      <c r="BC14" s="815">
        <f t="shared" si="16"/>
        <v>79057608517</v>
      </c>
      <c r="BD14" s="815">
        <f t="shared" si="16"/>
        <v>78932170681</v>
      </c>
      <c r="BE14" s="815">
        <f t="shared" si="16"/>
        <v>65699767403</v>
      </c>
      <c r="BF14" s="815">
        <f t="shared" si="16"/>
        <v>65699767403</v>
      </c>
      <c r="BG14" s="815">
        <f t="shared" si="16"/>
        <v>13913780326</v>
      </c>
      <c r="BH14" s="815">
        <f t="shared" si="16"/>
        <v>13879107289</v>
      </c>
      <c r="BI14" s="815">
        <f t="shared" si="16"/>
        <v>13653086690</v>
      </c>
      <c r="BJ14" s="815">
        <f t="shared" si="16"/>
        <v>11717911279</v>
      </c>
      <c r="BK14" s="815">
        <f t="shared" si="16"/>
        <v>44606000000</v>
      </c>
      <c r="BL14" s="815">
        <f t="shared" si="16"/>
        <v>42900000000</v>
      </c>
      <c r="BM14" s="815">
        <f t="shared" si="16"/>
        <v>0</v>
      </c>
      <c r="BN14" s="815">
        <f t="shared" si="16"/>
        <v>0</v>
      </c>
      <c r="BO14" s="815">
        <f t="shared" si="16"/>
        <v>18495872</v>
      </c>
      <c r="BP14" s="815">
        <f t="shared" ref="BP14:EA14" si="17">+BP15+BP33+BP45+BP55+BP58+BP69+BP77</f>
        <v>0</v>
      </c>
      <c r="BQ14" s="815">
        <f t="shared" si="17"/>
        <v>0</v>
      </c>
      <c r="BR14" s="815">
        <f t="shared" si="17"/>
        <v>0</v>
      </c>
      <c r="BS14" s="815">
        <f t="shared" si="17"/>
        <v>13902435</v>
      </c>
      <c r="BT14" s="815">
        <f t="shared" si="17"/>
        <v>13902435</v>
      </c>
      <c r="BU14" s="815">
        <f t="shared" si="17"/>
        <v>13902435</v>
      </c>
      <c r="BV14" s="815">
        <f t="shared" si="17"/>
        <v>13902435</v>
      </c>
      <c r="BW14" s="815">
        <f t="shared" si="17"/>
        <v>27005</v>
      </c>
      <c r="BX14" s="815">
        <f t="shared" si="17"/>
        <v>0</v>
      </c>
      <c r="BY14" s="815">
        <f t="shared" si="17"/>
        <v>0</v>
      </c>
      <c r="BZ14" s="815">
        <f t="shared" si="17"/>
        <v>0</v>
      </c>
      <c r="CA14" s="815">
        <f t="shared" si="17"/>
        <v>2602344269</v>
      </c>
      <c r="CB14" s="815">
        <f t="shared" si="17"/>
        <v>293700000</v>
      </c>
      <c r="CC14" s="815">
        <f t="shared" si="17"/>
        <v>293700000</v>
      </c>
      <c r="CD14" s="815">
        <f t="shared" si="17"/>
        <v>293700000</v>
      </c>
      <c r="CE14" s="815">
        <f t="shared" si="17"/>
        <v>2919817193</v>
      </c>
      <c r="CF14" s="815">
        <f t="shared" si="17"/>
        <v>891623003</v>
      </c>
      <c r="CG14" s="815">
        <f t="shared" si="17"/>
        <v>831623003</v>
      </c>
      <c r="CH14" s="815">
        <f t="shared" si="17"/>
        <v>831623003</v>
      </c>
      <c r="CI14" s="815">
        <f t="shared" si="17"/>
        <v>6452718</v>
      </c>
      <c r="CJ14" s="815">
        <f t="shared" si="17"/>
        <v>0</v>
      </c>
      <c r="CK14" s="815">
        <f t="shared" si="17"/>
        <v>0</v>
      </c>
      <c r="CL14" s="815">
        <f t="shared" si="17"/>
        <v>0</v>
      </c>
      <c r="CM14" s="815">
        <f t="shared" si="17"/>
        <v>10159319302</v>
      </c>
      <c r="CN14" s="815">
        <f t="shared" si="17"/>
        <v>7256170869</v>
      </c>
      <c r="CO14" s="815">
        <f t="shared" si="17"/>
        <v>5286887909</v>
      </c>
      <c r="CP14" s="815">
        <f t="shared" si="17"/>
        <v>5286647909</v>
      </c>
      <c r="CQ14" s="815">
        <f t="shared" si="17"/>
        <v>4199680776</v>
      </c>
      <c r="CR14" s="815">
        <f t="shared" si="17"/>
        <v>1812543165</v>
      </c>
      <c r="CS14" s="815">
        <f t="shared" si="17"/>
        <v>1667648972</v>
      </c>
      <c r="CT14" s="815">
        <f t="shared" si="17"/>
        <v>1667648972</v>
      </c>
      <c r="CU14" s="815">
        <f t="shared" si="17"/>
        <v>3311146</v>
      </c>
      <c r="CV14" s="815">
        <f t="shared" si="17"/>
        <v>0</v>
      </c>
      <c r="CW14" s="815">
        <f t="shared" si="17"/>
        <v>0</v>
      </c>
      <c r="CX14" s="815">
        <f t="shared" si="17"/>
        <v>0</v>
      </c>
      <c r="CY14" s="815">
        <f t="shared" si="17"/>
        <v>331763391</v>
      </c>
      <c r="CZ14" s="815">
        <f t="shared" si="17"/>
        <v>331763391</v>
      </c>
      <c r="DA14" s="815">
        <f t="shared" si="17"/>
        <v>0</v>
      </c>
      <c r="DB14" s="815">
        <f t="shared" si="17"/>
        <v>0</v>
      </c>
      <c r="DC14" s="815">
        <f t="shared" si="17"/>
        <v>90000000</v>
      </c>
      <c r="DD14" s="815">
        <f t="shared" si="17"/>
        <v>82822518</v>
      </c>
      <c r="DE14" s="815">
        <f t="shared" si="17"/>
        <v>12822518</v>
      </c>
      <c r="DF14" s="815">
        <f t="shared" si="17"/>
        <v>12582518</v>
      </c>
      <c r="DG14" s="815">
        <f t="shared" si="17"/>
        <v>47346000</v>
      </c>
      <c r="DH14" s="815">
        <f t="shared" si="17"/>
        <v>0</v>
      </c>
      <c r="DI14" s="815">
        <f t="shared" si="17"/>
        <v>0</v>
      </c>
      <c r="DJ14" s="815">
        <f t="shared" si="17"/>
        <v>0</v>
      </c>
      <c r="DK14" s="815">
        <f t="shared" si="17"/>
        <v>32157524</v>
      </c>
      <c r="DL14" s="815">
        <f t="shared" si="17"/>
        <v>4000000</v>
      </c>
      <c r="DM14" s="815">
        <f t="shared" si="17"/>
        <v>4000000</v>
      </c>
      <c r="DN14" s="815">
        <f t="shared" si="17"/>
        <v>4000000</v>
      </c>
      <c r="DO14" s="815">
        <f t="shared" si="17"/>
        <v>13247922592</v>
      </c>
      <c r="DP14" s="815">
        <f t="shared" si="17"/>
        <v>13159365589</v>
      </c>
      <c r="DQ14" s="815">
        <f t="shared" si="17"/>
        <v>82676182</v>
      </c>
      <c r="DR14" s="815">
        <f t="shared" si="17"/>
        <v>82676182</v>
      </c>
      <c r="DS14" s="815">
        <f t="shared" si="17"/>
        <v>252000</v>
      </c>
      <c r="DT14" s="815">
        <f t="shared" si="17"/>
        <v>0</v>
      </c>
      <c r="DU14" s="815">
        <f t="shared" si="17"/>
        <v>0</v>
      </c>
      <c r="DV14" s="815">
        <f t="shared" si="17"/>
        <v>0</v>
      </c>
      <c r="DW14" s="815">
        <f t="shared" si="17"/>
        <v>540062</v>
      </c>
      <c r="DX14" s="815">
        <f t="shared" si="17"/>
        <v>0</v>
      </c>
      <c r="DY14" s="815">
        <f t="shared" si="17"/>
        <v>0</v>
      </c>
      <c r="DZ14" s="815">
        <f t="shared" si="17"/>
        <v>0</v>
      </c>
      <c r="EA14" s="815">
        <f t="shared" si="17"/>
        <v>6394599</v>
      </c>
      <c r="EB14" s="815">
        <f t="shared" ref="EB14:ED14" si="18">+EB15+EB33+EB45+EB55+EB58+EB69+EB77</f>
        <v>0</v>
      </c>
      <c r="EC14" s="815">
        <f t="shared" si="18"/>
        <v>0</v>
      </c>
      <c r="ED14" s="815">
        <f t="shared" si="18"/>
        <v>0</v>
      </c>
      <c r="EE14" s="816">
        <f>+C14+G14+K14+O14+S14+W14+AA14+AE14+AI14+AM14+AQ14+AU14+AY14+BC14+BG14+BK14+BO14+BS14+BW14+CA14+CE14+CI14+CM14+CQ14+CU14+CY14+DC14+DG14+DK14+DO14+EA14+DS14+DW14</f>
        <v>178277974916</v>
      </c>
      <c r="EF14" s="816">
        <f>+D14+H14+L14+P14+T14+X14+AB14+AF14+AJ14+AN14+AR14+AV14+AZ14+BD14+BH14+BL14+BP14+BT14+BX14+CB14+CF14+CJ14+CN14+CR14+CV14+CZ14+DD14+DH14+DL14+DP14+EB14</f>
        <v>162507567414</v>
      </c>
      <c r="EG14" s="816">
        <f>+E14+I14+M14+Q14+U14+Y14+AC14+AG14+AK14+AO14+AS14+AW14+BA14+BE14+BI14+BM14+BQ14+BU14+BY14+CC14+CG14+CK14+CO14+CS14+CW14+DA14+DE14+DI14+DM14+DQ14+EC14</f>
        <v>89192926100</v>
      </c>
      <c r="EH14" s="816">
        <f>+F14+J14+N14+R14+V14+Z14+AD14+AH14+AL14+AP14+AT14+AX14+BB14+BF14+BJ14+BN14+BR14+BV14+BZ14+CD14+CH14+CL14+CP14+CT14+CX14+DB14+DF14+DJ14+DN14+DR14+ED14</f>
        <v>87257270689</v>
      </c>
      <c r="EI14" s="817">
        <f t="shared" si="4"/>
        <v>0</v>
      </c>
      <c r="EK14" s="813"/>
      <c r="EL14" s="880"/>
    </row>
    <row r="15" spans="1:142" ht="28.5" thickTop="1" thickBot="1" x14ac:dyDescent="0.3">
      <c r="A15" s="818" t="s">
        <v>1510</v>
      </c>
      <c r="B15" s="819">
        <f t="shared" ref="B15:BM15" si="19">+B16+B19+B22+B24+B28+B30</f>
        <v>6769912020</v>
      </c>
      <c r="C15" s="819">
        <f t="shared" si="19"/>
        <v>626849694</v>
      </c>
      <c r="D15" s="819">
        <f t="shared" si="19"/>
        <v>243200000</v>
      </c>
      <c r="E15" s="819">
        <f t="shared" si="19"/>
        <v>243200000</v>
      </c>
      <c r="F15" s="819">
        <f t="shared" si="19"/>
        <v>243200000</v>
      </c>
      <c r="G15" s="819">
        <f t="shared" si="19"/>
        <v>56411629</v>
      </c>
      <c r="H15" s="819">
        <f t="shared" si="19"/>
        <v>0</v>
      </c>
      <c r="I15" s="819">
        <f t="shared" si="19"/>
        <v>0</v>
      </c>
      <c r="J15" s="819">
        <f t="shared" si="19"/>
        <v>0</v>
      </c>
      <c r="K15" s="819">
        <f t="shared" si="19"/>
        <v>36008757</v>
      </c>
      <c r="L15" s="819">
        <f t="shared" si="19"/>
        <v>0</v>
      </c>
      <c r="M15" s="819">
        <f t="shared" si="19"/>
        <v>0</v>
      </c>
      <c r="N15" s="819">
        <f t="shared" si="19"/>
        <v>0</v>
      </c>
      <c r="O15" s="819">
        <f t="shared" si="19"/>
        <v>1350000</v>
      </c>
      <c r="P15" s="819">
        <f t="shared" si="19"/>
        <v>0</v>
      </c>
      <c r="Q15" s="819">
        <f t="shared" si="19"/>
        <v>0</v>
      </c>
      <c r="R15" s="819">
        <f t="shared" si="19"/>
        <v>0</v>
      </c>
      <c r="S15" s="819">
        <f t="shared" si="19"/>
        <v>0</v>
      </c>
      <c r="T15" s="819">
        <f t="shared" si="19"/>
        <v>0</v>
      </c>
      <c r="U15" s="819">
        <f t="shared" si="19"/>
        <v>0</v>
      </c>
      <c r="V15" s="819">
        <f t="shared" si="19"/>
        <v>0</v>
      </c>
      <c r="W15" s="819">
        <f t="shared" si="19"/>
        <v>54219081</v>
      </c>
      <c r="X15" s="819">
        <f t="shared" si="19"/>
        <v>0</v>
      </c>
      <c r="Y15" s="819">
        <f t="shared" si="19"/>
        <v>0</v>
      </c>
      <c r="Z15" s="819">
        <f t="shared" si="19"/>
        <v>0</v>
      </c>
      <c r="AA15" s="819">
        <f t="shared" si="19"/>
        <v>595498071</v>
      </c>
      <c r="AB15" s="819">
        <f t="shared" si="19"/>
        <v>488316167</v>
      </c>
      <c r="AC15" s="819">
        <f t="shared" si="19"/>
        <v>240276858</v>
      </c>
      <c r="AD15" s="819">
        <f t="shared" si="19"/>
        <v>240276858</v>
      </c>
      <c r="AE15" s="819">
        <f t="shared" si="19"/>
        <v>0</v>
      </c>
      <c r="AF15" s="819">
        <f t="shared" si="19"/>
        <v>0</v>
      </c>
      <c r="AG15" s="819">
        <f t="shared" si="19"/>
        <v>0</v>
      </c>
      <c r="AH15" s="819">
        <f t="shared" si="19"/>
        <v>0</v>
      </c>
      <c r="AI15" s="819">
        <f t="shared" si="19"/>
        <v>0</v>
      </c>
      <c r="AJ15" s="819">
        <f t="shared" si="19"/>
        <v>0</v>
      </c>
      <c r="AK15" s="819">
        <f t="shared" si="19"/>
        <v>0</v>
      </c>
      <c r="AL15" s="819">
        <f t="shared" si="19"/>
        <v>0</v>
      </c>
      <c r="AM15" s="819">
        <f t="shared" si="19"/>
        <v>0</v>
      </c>
      <c r="AN15" s="819">
        <f t="shared" si="19"/>
        <v>0</v>
      </c>
      <c r="AO15" s="819">
        <f t="shared" si="19"/>
        <v>0</v>
      </c>
      <c r="AP15" s="819">
        <f t="shared" si="19"/>
        <v>0</v>
      </c>
      <c r="AQ15" s="819">
        <f t="shared" si="19"/>
        <v>0</v>
      </c>
      <c r="AR15" s="819">
        <f t="shared" si="19"/>
        <v>0</v>
      </c>
      <c r="AS15" s="819">
        <f t="shared" si="19"/>
        <v>0</v>
      </c>
      <c r="AT15" s="819">
        <f t="shared" si="19"/>
        <v>0</v>
      </c>
      <c r="AU15" s="819">
        <f t="shared" si="19"/>
        <v>0</v>
      </c>
      <c r="AV15" s="819">
        <f t="shared" si="19"/>
        <v>0</v>
      </c>
      <c r="AW15" s="819">
        <f t="shared" si="19"/>
        <v>0</v>
      </c>
      <c r="AX15" s="819">
        <f t="shared" si="19"/>
        <v>0</v>
      </c>
      <c r="AY15" s="819">
        <f t="shared" si="19"/>
        <v>0</v>
      </c>
      <c r="AZ15" s="819">
        <f t="shared" si="19"/>
        <v>0</v>
      </c>
      <c r="BA15" s="819">
        <f t="shared" si="19"/>
        <v>0</v>
      </c>
      <c r="BB15" s="819">
        <f t="shared" si="19"/>
        <v>0</v>
      </c>
      <c r="BC15" s="819">
        <f t="shared" si="19"/>
        <v>0</v>
      </c>
      <c r="BD15" s="819">
        <f t="shared" si="19"/>
        <v>0</v>
      </c>
      <c r="BE15" s="819">
        <f t="shared" si="19"/>
        <v>0</v>
      </c>
      <c r="BF15" s="819">
        <f t="shared" si="19"/>
        <v>0</v>
      </c>
      <c r="BG15" s="819">
        <f t="shared" si="19"/>
        <v>606672868</v>
      </c>
      <c r="BH15" s="819">
        <f t="shared" si="19"/>
        <v>572000000</v>
      </c>
      <c r="BI15" s="819">
        <f t="shared" si="19"/>
        <v>432000000</v>
      </c>
      <c r="BJ15" s="819">
        <f t="shared" si="19"/>
        <v>432000000</v>
      </c>
      <c r="BK15" s="819">
        <f t="shared" si="19"/>
        <v>0</v>
      </c>
      <c r="BL15" s="819">
        <f t="shared" si="19"/>
        <v>0</v>
      </c>
      <c r="BM15" s="819">
        <f t="shared" si="19"/>
        <v>0</v>
      </c>
      <c r="BN15" s="819">
        <f t="shared" ref="BN15:ED15" si="20">+BN16+BN19+BN22+BN24+BN28+BN30</f>
        <v>0</v>
      </c>
      <c r="BO15" s="819">
        <f t="shared" si="20"/>
        <v>0</v>
      </c>
      <c r="BP15" s="819">
        <f t="shared" si="20"/>
        <v>0</v>
      </c>
      <c r="BQ15" s="819">
        <f t="shared" si="20"/>
        <v>0</v>
      </c>
      <c r="BR15" s="819">
        <f t="shared" si="20"/>
        <v>0</v>
      </c>
      <c r="BS15" s="819">
        <f t="shared" si="20"/>
        <v>0</v>
      </c>
      <c r="BT15" s="819">
        <f t="shared" si="20"/>
        <v>0</v>
      </c>
      <c r="BU15" s="819">
        <f t="shared" si="20"/>
        <v>0</v>
      </c>
      <c r="BV15" s="819">
        <f t="shared" si="20"/>
        <v>0</v>
      </c>
      <c r="BW15" s="819">
        <f t="shared" si="20"/>
        <v>0</v>
      </c>
      <c r="BX15" s="819">
        <f t="shared" si="20"/>
        <v>0</v>
      </c>
      <c r="BY15" s="819">
        <f t="shared" si="20"/>
        <v>0</v>
      </c>
      <c r="BZ15" s="819">
        <f t="shared" si="20"/>
        <v>0</v>
      </c>
      <c r="CA15" s="819">
        <f t="shared" si="20"/>
        <v>0</v>
      </c>
      <c r="CB15" s="819">
        <f t="shared" si="20"/>
        <v>0</v>
      </c>
      <c r="CC15" s="819">
        <f t="shared" si="20"/>
        <v>0</v>
      </c>
      <c r="CD15" s="819">
        <f t="shared" si="20"/>
        <v>0</v>
      </c>
      <c r="CE15" s="819">
        <f t="shared" si="20"/>
        <v>0</v>
      </c>
      <c r="CF15" s="819">
        <f t="shared" si="20"/>
        <v>0</v>
      </c>
      <c r="CG15" s="819">
        <f t="shared" si="20"/>
        <v>0</v>
      </c>
      <c r="CH15" s="819">
        <f t="shared" si="20"/>
        <v>0</v>
      </c>
      <c r="CI15" s="819">
        <f t="shared" si="20"/>
        <v>0</v>
      </c>
      <c r="CJ15" s="819">
        <f t="shared" si="20"/>
        <v>0</v>
      </c>
      <c r="CK15" s="819">
        <f t="shared" si="20"/>
        <v>0</v>
      </c>
      <c r="CL15" s="819">
        <f t="shared" si="20"/>
        <v>0</v>
      </c>
      <c r="CM15" s="819">
        <f t="shared" si="20"/>
        <v>3922003797</v>
      </c>
      <c r="CN15" s="819">
        <f t="shared" si="20"/>
        <v>3315863199</v>
      </c>
      <c r="CO15" s="819">
        <f t="shared" si="20"/>
        <v>3189137210</v>
      </c>
      <c r="CP15" s="819">
        <f>+CP16+CP19+CP22+CP24+CP28+CP30</f>
        <v>3188897210</v>
      </c>
      <c r="CQ15" s="819">
        <f>+CQ16+CQ19+CQ22+CQ24+CQ28+CQ30</f>
        <v>681688854</v>
      </c>
      <c r="CR15" s="819">
        <f t="shared" si="20"/>
        <v>574079470</v>
      </c>
      <c r="CS15" s="819">
        <f t="shared" si="20"/>
        <v>574079470</v>
      </c>
      <c r="CT15" s="819">
        <f t="shared" si="20"/>
        <v>574079470</v>
      </c>
      <c r="CU15" s="819">
        <f t="shared" si="20"/>
        <v>3311146</v>
      </c>
      <c r="CV15" s="819">
        <f t="shared" si="20"/>
        <v>0</v>
      </c>
      <c r="CW15" s="819">
        <f t="shared" si="20"/>
        <v>0</v>
      </c>
      <c r="CX15" s="819">
        <f t="shared" si="20"/>
        <v>0</v>
      </c>
      <c r="CY15" s="819">
        <f t="shared" si="20"/>
        <v>10000000</v>
      </c>
      <c r="CZ15" s="819">
        <f t="shared" si="20"/>
        <v>10000000</v>
      </c>
      <c r="DA15" s="819">
        <f t="shared" si="20"/>
        <v>0</v>
      </c>
      <c r="DB15" s="819">
        <f t="shared" si="20"/>
        <v>0</v>
      </c>
      <c r="DC15" s="819">
        <f t="shared" si="20"/>
        <v>90000000</v>
      </c>
      <c r="DD15" s="819">
        <f t="shared" si="20"/>
        <v>82822518</v>
      </c>
      <c r="DE15" s="819">
        <f t="shared" si="20"/>
        <v>12822518</v>
      </c>
      <c r="DF15" s="819">
        <f t="shared" si="20"/>
        <v>12582518</v>
      </c>
      <c r="DG15" s="819">
        <f t="shared" si="20"/>
        <v>47346000</v>
      </c>
      <c r="DH15" s="819">
        <f t="shared" si="20"/>
        <v>0</v>
      </c>
      <c r="DI15" s="819">
        <f t="shared" si="20"/>
        <v>0</v>
      </c>
      <c r="DJ15" s="819">
        <f t="shared" si="20"/>
        <v>0</v>
      </c>
      <c r="DK15" s="819">
        <f t="shared" si="20"/>
        <v>32157524</v>
      </c>
      <c r="DL15" s="819">
        <f t="shared" si="20"/>
        <v>4000000</v>
      </c>
      <c r="DM15" s="819">
        <f t="shared" si="20"/>
        <v>4000000</v>
      </c>
      <c r="DN15" s="819">
        <f t="shared" si="20"/>
        <v>4000000</v>
      </c>
      <c r="DO15" s="819">
        <f t="shared" si="20"/>
        <v>0</v>
      </c>
      <c r="DP15" s="819">
        <f t="shared" si="20"/>
        <v>0</v>
      </c>
      <c r="DQ15" s="819">
        <f t="shared" si="20"/>
        <v>0</v>
      </c>
      <c r="DR15" s="819">
        <f t="shared" si="20"/>
        <v>0</v>
      </c>
      <c r="DS15" s="819">
        <f t="shared" si="20"/>
        <v>0</v>
      </c>
      <c r="DT15" s="819">
        <f t="shared" si="20"/>
        <v>0</v>
      </c>
      <c r="DU15" s="819">
        <f t="shared" si="20"/>
        <v>0</v>
      </c>
      <c r="DV15" s="819">
        <f t="shared" si="20"/>
        <v>0</v>
      </c>
      <c r="DW15" s="819">
        <f t="shared" si="20"/>
        <v>0</v>
      </c>
      <c r="DX15" s="819">
        <f t="shared" si="20"/>
        <v>0</v>
      </c>
      <c r="DY15" s="819">
        <f t="shared" si="20"/>
        <v>0</v>
      </c>
      <c r="DZ15" s="819">
        <f t="shared" si="20"/>
        <v>0</v>
      </c>
      <c r="EA15" s="819">
        <f t="shared" si="20"/>
        <v>6394599</v>
      </c>
      <c r="EB15" s="819">
        <f t="shared" si="20"/>
        <v>0</v>
      </c>
      <c r="EC15" s="819">
        <f t="shared" si="20"/>
        <v>0</v>
      </c>
      <c r="ED15" s="819">
        <f t="shared" si="20"/>
        <v>0</v>
      </c>
      <c r="EE15" s="820">
        <f t="shared" ref="EE15:EH18" si="21">+C15+G15+K15+O15+S15+W15+AA15+AE15+AI15+AM15+AQ15+AU15+AY15+BC15+BG15+BK15+BO15+BS15+BW15+CA15+CE15+CI15+CM15+CQ15+CU15+CY15+DC15+DG15+DK15+DO15+EA15+DS15+DW15</f>
        <v>6769912020</v>
      </c>
      <c r="EF15" s="820">
        <f t="shared" si="21"/>
        <v>5290281354</v>
      </c>
      <c r="EG15" s="820">
        <f t="shared" si="21"/>
        <v>4695516056</v>
      </c>
      <c r="EH15" s="820">
        <f t="shared" si="21"/>
        <v>4695036056</v>
      </c>
      <c r="EI15" s="821">
        <f t="shared" si="4"/>
        <v>0</v>
      </c>
      <c r="EK15" s="813"/>
    </row>
    <row r="16" spans="1:142" ht="24" customHeight="1" thickTop="1" thickBot="1" x14ac:dyDescent="0.3">
      <c r="A16" s="822" t="s">
        <v>1511</v>
      </c>
      <c r="B16" s="823">
        <f t="shared" ref="B16:BM16" si="22">SUM(B17:B18)</f>
        <v>95000000</v>
      </c>
      <c r="C16" s="823">
        <f t="shared" si="22"/>
        <v>0</v>
      </c>
      <c r="D16" s="823">
        <f t="shared" si="22"/>
        <v>0</v>
      </c>
      <c r="E16" s="823">
        <f t="shared" si="22"/>
        <v>0</v>
      </c>
      <c r="F16" s="823">
        <f t="shared" si="22"/>
        <v>0</v>
      </c>
      <c r="G16" s="823">
        <f t="shared" si="22"/>
        <v>0</v>
      </c>
      <c r="H16" s="823">
        <f t="shared" si="22"/>
        <v>0</v>
      </c>
      <c r="I16" s="823">
        <f t="shared" si="22"/>
        <v>0</v>
      </c>
      <c r="J16" s="823">
        <f t="shared" si="22"/>
        <v>0</v>
      </c>
      <c r="K16" s="823">
        <f t="shared" si="22"/>
        <v>0</v>
      </c>
      <c r="L16" s="823">
        <f t="shared" si="22"/>
        <v>0</v>
      </c>
      <c r="M16" s="823">
        <f t="shared" si="22"/>
        <v>0</v>
      </c>
      <c r="N16" s="823">
        <f t="shared" si="22"/>
        <v>0</v>
      </c>
      <c r="O16" s="823">
        <f t="shared" si="22"/>
        <v>0</v>
      </c>
      <c r="P16" s="823">
        <f t="shared" si="22"/>
        <v>0</v>
      </c>
      <c r="Q16" s="823">
        <f t="shared" si="22"/>
        <v>0</v>
      </c>
      <c r="R16" s="823">
        <f t="shared" si="22"/>
        <v>0</v>
      </c>
      <c r="S16" s="823">
        <f t="shared" si="22"/>
        <v>0</v>
      </c>
      <c r="T16" s="823">
        <f t="shared" si="22"/>
        <v>0</v>
      </c>
      <c r="U16" s="823">
        <f t="shared" si="22"/>
        <v>0</v>
      </c>
      <c r="V16" s="823">
        <f t="shared" si="22"/>
        <v>0</v>
      </c>
      <c r="W16" s="823">
        <f t="shared" si="22"/>
        <v>0</v>
      </c>
      <c r="X16" s="823">
        <f t="shared" si="22"/>
        <v>0</v>
      </c>
      <c r="Y16" s="823">
        <f t="shared" si="22"/>
        <v>0</v>
      </c>
      <c r="Z16" s="823">
        <f t="shared" si="22"/>
        <v>0</v>
      </c>
      <c r="AA16" s="823">
        <f t="shared" si="22"/>
        <v>0</v>
      </c>
      <c r="AB16" s="823">
        <f t="shared" si="22"/>
        <v>0</v>
      </c>
      <c r="AC16" s="823">
        <f t="shared" si="22"/>
        <v>0</v>
      </c>
      <c r="AD16" s="823">
        <f t="shared" si="22"/>
        <v>0</v>
      </c>
      <c r="AE16" s="823">
        <f t="shared" si="22"/>
        <v>0</v>
      </c>
      <c r="AF16" s="823">
        <f t="shared" si="22"/>
        <v>0</v>
      </c>
      <c r="AG16" s="823">
        <f t="shared" si="22"/>
        <v>0</v>
      </c>
      <c r="AH16" s="823">
        <f t="shared" si="22"/>
        <v>0</v>
      </c>
      <c r="AI16" s="823">
        <f t="shared" si="22"/>
        <v>0</v>
      </c>
      <c r="AJ16" s="823">
        <f t="shared" si="22"/>
        <v>0</v>
      </c>
      <c r="AK16" s="823">
        <f t="shared" si="22"/>
        <v>0</v>
      </c>
      <c r="AL16" s="823">
        <f t="shared" si="22"/>
        <v>0</v>
      </c>
      <c r="AM16" s="823">
        <f t="shared" si="22"/>
        <v>0</v>
      </c>
      <c r="AN16" s="823">
        <f t="shared" si="22"/>
        <v>0</v>
      </c>
      <c r="AO16" s="823">
        <f t="shared" si="22"/>
        <v>0</v>
      </c>
      <c r="AP16" s="823">
        <f t="shared" si="22"/>
        <v>0</v>
      </c>
      <c r="AQ16" s="823">
        <f t="shared" si="22"/>
        <v>0</v>
      </c>
      <c r="AR16" s="823">
        <f t="shared" si="22"/>
        <v>0</v>
      </c>
      <c r="AS16" s="823">
        <f t="shared" si="22"/>
        <v>0</v>
      </c>
      <c r="AT16" s="823">
        <f t="shared" si="22"/>
        <v>0</v>
      </c>
      <c r="AU16" s="823">
        <f t="shared" si="22"/>
        <v>0</v>
      </c>
      <c r="AV16" s="823">
        <f t="shared" si="22"/>
        <v>0</v>
      </c>
      <c r="AW16" s="823">
        <f t="shared" si="22"/>
        <v>0</v>
      </c>
      <c r="AX16" s="823">
        <f t="shared" si="22"/>
        <v>0</v>
      </c>
      <c r="AY16" s="823">
        <f t="shared" si="22"/>
        <v>0</v>
      </c>
      <c r="AZ16" s="823">
        <f t="shared" si="22"/>
        <v>0</v>
      </c>
      <c r="BA16" s="823">
        <f t="shared" si="22"/>
        <v>0</v>
      </c>
      <c r="BB16" s="823">
        <f t="shared" si="22"/>
        <v>0</v>
      </c>
      <c r="BC16" s="823">
        <f t="shared" si="22"/>
        <v>0</v>
      </c>
      <c r="BD16" s="823">
        <f t="shared" si="22"/>
        <v>0</v>
      </c>
      <c r="BE16" s="823">
        <f t="shared" si="22"/>
        <v>0</v>
      </c>
      <c r="BF16" s="823">
        <f t="shared" si="22"/>
        <v>0</v>
      </c>
      <c r="BG16" s="823">
        <f t="shared" si="22"/>
        <v>0</v>
      </c>
      <c r="BH16" s="823">
        <f t="shared" si="22"/>
        <v>0</v>
      </c>
      <c r="BI16" s="823">
        <f t="shared" si="22"/>
        <v>0</v>
      </c>
      <c r="BJ16" s="823">
        <f t="shared" si="22"/>
        <v>0</v>
      </c>
      <c r="BK16" s="823">
        <f t="shared" si="22"/>
        <v>0</v>
      </c>
      <c r="BL16" s="823">
        <f t="shared" si="22"/>
        <v>0</v>
      </c>
      <c r="BM16" s="823">
        <f t="shared" si="22"/>
        <v>0</v>
      </c>
      <c r="BN16" s="823">
        <f t="shared" ref="BN16:ED16" si="23">SUM(BN17:BN18)</f>
        <v>0</v>
      </c>
      <c r="BO16" s="823">
        <f t="shared" si="23"/>
        <v>0</v>
      </c>
      <c r="BP16" s="823">
        <f t="shared" si="23"/>
        <v>0</v>
      </c>
      <c r="BQ16" s="823">
        <f t="shared" si="23"/>
        <v>0</v>
      </c>
      <c r="BR16" s="823">
        <f t="shared" si="23"/>
        <v>0</v>
      </c>
      <c r="BS16" s="823">
        <f t="shared" si="23"/>
        <v>0</v>
      </c>
      <c r="BT16" s="823">
        <f t="shared" si="23"/>
        <v>0</v>
      </c>
      <c r="BU16" s="823">
        <f t="shared" si="23"/>
        <v>0</v>
      </c>
      <c r="BV16" s="823">
        <f t="shared" si="23"/>
        <v>0</v>
      </c>
      <c r="BW16" s="823">
        <f t="shared" si="23"/>
        <v>0</v>
      </c>
      <c r="BX16" s="823">
        <f t="shared" si="23"/>
        <v>0</v>
      </c>
      <c r="BY16" s="823">
        <f t="shared" si="23"/>
        <v>0</v>
      </c>
      <c r="BZ16" s="823">
        <f t="shared" si="23"/>
        <v>0</v>
      </c>
      <c r="CA16" s="823">
        <f t="shared" si="23"/>
        <v>0</v>
      </c>
      <c r="CB16" s="823">
        <f t="shared" si="23"/>
        <v>0</v>
      </c>
      <c r="CC16" s="823">
        <f t="shared" si="23"/>
        <v>0</v>
      </c>
      <c r="CD16" s="823">
        <f t="shared" si="23"/>
        <v>0</v>
      </c>
      <c r="CE16" s="823">
        <f t="shared" si="23"/>
        <v>0</v>
      </c>
      <c r="CF16" s="823">
        <f t="shared" si="23"/>
        <v>0</v>
      </c>
      <c r="CG16" s="823">
        <f t="shared" si="23"/>
        <v>0</v>
      </c>
      <c r="CH16" s="823">
        <f t="shared" si="23"/>
        <v>0</v>
      </c>
      <c r="CI16" s="823">
        <f t="shared" si="23"/>
        <v>0</v>
      </c>
      <c r="CJ16" s="823">
        <f t="shared" si="23"/>
        <v>0</v>
      </c>
      <c r="CK16" s="823">
        <f t="shared" si="23"/>
        <v>0</v>
      </c>
      <c r="CL16" s="823">
        <f t="shared" si="23"/>
        <v>0</v>
      </c>
      <c r="CM16" s="823">
        <f>SUM(CM17:CM18)</f>
        <v>996476</v>
      </c>
      <c r="CN16" s="823">
        <f t="shared" si="23"/>
        <v>0</v>
      </c>
      <c r="CO16" s="823">
        <f t="shared" si="23"/>
        <v>0</v>
      </c>
      <c r="CP16" s="823">
        <f t="shared" si="23"/>
        <v>0</v>
      </c>
      <c r="CQ16" s="823">
        <f t="shared" si="23"/>
        <v>11688854</v>
      </c>
      <c r="CR16" s="823">
        <f t="shared" si="23"/>
        <v>0</v>
      </c>
      <c r="CS16" s="823">
        <f t="shared" si="23"/>
        <v>0</v>
      </c>
      <c r="CT16" s="823">
        <f t="shared" si="23"/>
        <v>0</v>
      </c>
      <c r="CU16" s="823">
        <f t="shared" si="23"/>
        <v>3311146</v>
      </c>
      <c r="CV16" s="823">
        <f t="shared" si="23"/>
        <v>0</v>
      </c>
      <c r="CW16" s="823">
        <f t="shared" si="23"/>
        <v>0</v>
      </c>
      <c r="CX16" s="823">
        <f t="shared" si="23"/>
        <v>0</v>
      </c>
      <c r="CY16" s="823">
        <f t="shared" si="23"/>
        <v>0</v>
      </c>
      <c r="CZ16" s="823">
        <f t="shared" si="23"/>
        <v>0</v>
      </c>
      <c r="DA16" s="823">
        <f t="shared" si="23"/>
        <v>0</v>
      </c>
      <c r="DB16" s="823">
        <f t="shared" si="23"/>
        <v>0</v>
      </c>
      <c r="DC16" s="823">
        <f t="shared" si="23"/>
        <v>0</v>
      </c>
      <c r="DD16" s="823">
        <f t="shared" si="23"/>
        <v>0</v>
      </c>
      <c r="DE16" s="823">
        <f t="shared" si="23"/>
        <v>0</v>
      </c>
      <c r="DF16" s="823">
        <f t="shared" si="23"/>
        <v>0</v>
      </c>
      <c r="DG16" s="823">
        <f t="shared" si="23"/>
        <v>47346000</v>
      </c>
      <c r="DH16" s="823">
        <f t="shared" si="23"/>
        <v>0</v>
      </c>
      <c r="DI16" s="823">
        <f t="shared" si="23"/>
        <v>0</v>
      </c>
      <c r="DJ16" s="823">
        <f t="shared" si="23"/>
        <v>0</v>
      </c>
      <c r="DK16" s="823">
        <f t="shared" si="23"/>
        <v>31657524</v>
      </c>
      <c r="DL16" s="823">
        <f t="shared" si="23"/>
        <v>4000000</v>
      </c>
      <c r="DM16" s="823">
        <f t="shared" si="23"/>
        <v>4000000</v>
      </c>
      <c r="DN16" s="823">
        <f t="shared" si="23"/>
        <v>4000000</v>
      </c>
      <c r="DO16" s="823">
        <f t="shared" si="23"/>
        <v>0</v>
      </c>
      <c r="DP16" s="823">
        <f t="shared" si="23"/>
        <v>0</v>
      </c>
      <c r="DQ16" s="823">
        <f t="shared" si="23"/>
        <v>0</v>
      </c>
      <c r="DR16" s="823">
        <f t="shared" si="23"/>
        <v>0</v>
      </c>
      <c r="DS16" s="823">
        <f t="shared" si="23"/>
        <v>0</v>
      </c>
      <c r="DT16" s="823">
        <f t="shared" si="23"/>
        <v>0</v>
      </c>
      <c r="DU16" s="823">
        <f t="shared" si="23"/>
        <v>0</v>
      </c>
      <c r="DV16" s="823">
        <f t="shared" si="23"/>
        <v>0</v>
      </c>
      <c r="DW16" s="823">
        <f t="shared" si="23"/>
        <v>0</v>
      </c>
      <c r="DX16" s="823">
        <f t="shared" si="23"/>
        <v>0</v>
      </c>
      <c r="DY16" s="823">
        <f t="shared" si="23"/>
        <v>0</v>
      </c>
      <c r="DZ16" s="823">
        <f t="shared" si="23"/>
        <v>0</v>
      </c>
      <c r="EA16" s="823">
        <f t="shared" si="23"/>
        <v>0</v>
      </c>
      <c r="EB16" s="823">
        <f t="shared" si="23"/>
        <v>0</v>
      </c>
      <c r="EC16" s="823">
        <f t="shared" si="23"/>
        <v>0</v>
      </c>
      <c r="ED16" s="823">
        <f t="shared" si="23"/>
        <v>0</v>
      </c>
      <c r="EE16" s="810">
        <f t="shared" si="21"/>
        <v>95000000</v>
      </c>
      <c r="EF16" s="810">
        <f t="shared" si="21"/>
        <v>4000000</v>
      </c>
      <c r="EG16" s="810">
        <f t="shared" si="21"/>
        <v>4000000</v>
      </c>
      <c r="EH16" s="810">
        <f t="shared" si="21"/>
        <v>4000000</v>
      </c>
      <c r="EI16" s="824">
        <f t="shared" si="4"/>
        <v>0</v>
      </c>
      <c r="EJ16" s="838"/>
      <c r="EK16" s="813"/>
    </row>
    <row r="17" spans="1:141" ht="21.75" customHeight="1" thickTop="1" thickBot="1" x14ac:dyDescent="0.3">
      <c r="A17" s="825" t="s">
        <v>2029</v>
      </c>
      <c r="B17" s="826">
        <f>+'[5]Evidencias ejec SEM I-2022'!AJ13</f>
        <v>15000000</v>
      </c>
      <c r="C17" s="827"/>
      <c r="D17" s="827"/>
      <c r="E17" s="827"/>
      <c r="F17" s="827"/>
      <c r="G17" s="827"/>
      <c r="H17" s="827"/>
      <c r="I17" s="827"/>
      <c r="J17" s="827"/>
      <c r="K17" s="827"/>
      <c r="L17" s="827"/>
      <c r="M17" s="827"/>
      <c r="N17" s="827"/>
      <c r="O17" s="828"/>
      <c r="P17" s="828"/>
      <c r="Q17" s="827"/>
      <c r="R17" s="828"/>
      <c r="S17" s="828"/>
      <c r="T17" s="828"/>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c r="AU17" s="827"/>
      <c r="AV17" s="827"/>
      <c r="AW17" s="827"/>
      <c r="AX17" s="827"/>
      <c r="AY17" s="827"/>
      <c r="AZ17" s="827"/>
      <c r="BA17" s="827"/>
      <c r="BB17" s="827"/>
      <c r="BC17" s="827"/>
      <c r="BD17" s="827"/>
      <c r="BE17" s="827"/>
      <c r="BF17" s="827"/>
      <c r="BG17" s="827"/>
      <c r="BH17" s="827"/>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7"/>
      <c r="CI17" s="827"/>
      <c r="CJ17" s="827"/>
      <c r="CK17" s="827"/>
      <c r="CL17" s="827"/>
      <c r="CM17" s="829"/>
      <c r="CN17" s="837"/>
      <c r="CO17" s="837"/>
      <c r="CP17" s="837"/>
      <c r="CQ17" s="834">
        <v>11688854</v>
      </c>
      <c r="CR17" s="837">
        <v>0</v>
      </c>
      <c r="CS17" s="837">
        <v>0</v>
      </c>
      <c r="CT17" s="837">
        <v>0</v>
      </c>
      <c r="CU17" s="834">
        <v>3311146</v>
      </c>
      <c r="CV17" s="837">
        <v>0</v>
      </c>
      <c r="CW17" s="837">
        <v>0</v>
      </c>
      <c r="CX17" s="837">
        <v>0</v>
      </c>
      <c r="CY17" s="829"/>
      <c r="CZ17" s="837"/>
      <c r="DA17" s="837"/>
      <c r="DB17" s="837"/>
      <c r="DC17" s="829"/>
      <c r="DD17" s="837"/>
      <c r="DE17" s="837"/>
      <c r="DF17" s="837"/>
      <c r="DG17" s="829"/>
      <c r="DH17" s="837"/>
      <c r="DI17" s="837"/>
      <c r="DJ17" s="837"/>
      <c r="DK17" s="829"/>
      <c r="DL17" s="837"/>
      <c r="DM17" s="837"/>
      <c r="DN17" s="837"/>
      <c r="DO17" s="829"/>
      <c r="DP17" s="837"/>
      <c r="DQ17" s="837"/>
      <c r="DR17" s="837"/>
      <c r="DS17" s="829"/>
      <c r="DT17" s="837"/>
      <c r="DU17" s="837"/>
      <c r="DV17" s="837"/>
      <c r="DW17" s="829"/>
      <c r="DX17" s="837"/>
      <c r="DY17" s="837"/>
      <c r="DZ17" s="837"/>
      <c r="EA17" s="828"/>
      <c r="EB17" s="828"/>
      <c r="EC17" s="827"/>
      <c r="ED17" s="827"/>
      <c r="EE17" s="832">
        <f t="shared" si="21"/>
        <v>15000000</v>
      </c>
      <c r="EF17" s="832">
        <f t="shared" si="21"/>
        <v>0</v>
      </c>
      <c r="EG17" s="832">
        <f t="shared" si="21"/>
        <v>0</v>
      </c>
      <c r="EH17" s="832">
        <f t="shared" si="21"/>
        <v>0</v>
      </c>
      <c r="EI17" s="725">
        <f t="shared" si="4"/>
        <v>0</v>
      </c>
      <c r="EJ17" s="838"/>
      <c r="EK17" s="813"/>
    </row>
    <row r="18" spans="1:141" ht="16.5" thickTop="1" thickBot="1" x14ac:dyDescent="0.3">
      <c r="A18" s="825" t="s">
        <v>1514</v>
      </c>
      <c r="B18" s="826">
        <f>+'[5]Evidencias ejec SEM I-2022'!AJ17</f>
        <v>80000000</v>
      </c>
      <c r="C18" s="827"/>
      <c r="D18" s="827"/>
      <c r="E18" s="827"/>
      <c r="F18" s="827"/>
      <c r="G18" s="827"/>
      <c r="H18" s="827"/>
      <c r="I18" s="827"/>
      <c r="J18" s="827"/>
      <c r="K18" s="827"/>
      <c r="L18" s="827"/>
      <c r="M18" s="827"/>
      <c r="N18" s="827"/>
      <c r="O18" s="828"/>
      <c r="P18" s="828"/>
      <c r="Q18" s="827"/>
      <c r="R18" s="828"/>
      <c r="S18" s="828"/>
      <c r="T18" s="828"/>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c r="AU18" s="827"/>
      <c r="AV18" s="827"/>
      <c r="AW18" s="827"/>
      <c r="AX18" s="827"/>
      <c r="AY18" s="827"/>
      <c r="AZ18" s="827"/>
      <c r="BA18" s="827"/>
      <c r="BB18" s="827"/>
      <c r="BC18" s="827"/>
      <c r="BD18" s="827"/>
      <c r="BE18" s="827"/>
      <c r="BF18" s="827"/>
      <c r="BG18" s="827"/>
      <c r="BH18" s="827"/>
      <c r="BI18" s="827"/>
      <c r="BJ18" s="827"/>
      <c r="BK18" s="827"/>
      <c r="BL18" s="827"/>
      <c r="BM18" s="827"/>
      <c r="BN18" s="827"/>
      <c r="BO18" s="827"/>
      <c r="BP18" s="827"/>
      <c r="BQ18" s="827"/>
      <c r="BR18" s="827"/>
      <c r="BS18" s="827"/>
      <c r="BT18" s="827"/>
      <c r="BU18" s="827"/>
      <c r="BV18" s="827"/>
      <c r="BW18" s="827"/>
      <c r="BX18" s="827"/>
      <c r="BY18" s="827"/>
      <c r="BZ18" s="827"/>
      <c r="CA18" s="827"/>
      <c r="CB18" s="827"/>
      <c r="CC18" s="827"/>
      <c r="CD18" s="827"/>
      <c r="CE18" s="827"/>
      <c r="CF18" s="827"/>
      <c r="CG18" s="827"/>
      <c r="CH18" s="827"/>
      <c r="CI18" s="827"/>
      <c r="CJ18" s="827"/>
      <c r="CK18" s="827"/>
      <c r="CL18" s="827"/>
      <c r="CM18" s="834">
        <v>996476</v>
      </c>
      <c r="CN18" s="837"/>
      <c r="CO18" s="837"/>
      <c r="CP18" s="837"/>
      <c r="CQ18" s="829"/>
      <c r="CR18" s="837"/>
      <c r="CS18" s="837"/>
      <c r="CT18" s="837"/>
      <c r="CU18" s="829"/>
      <c r="CV18" s="837"/>
      <c r="CW18" s="837"/>
      <c r="CX18" s="837"/>
      <c r="CY18" s="829"/>
      <c r="CZ18" s="837"/>
      <c r="DA18" s="837"/>
      <c r="DB18" s="837"/>
      <c r="DC18" s="829"/>
      <c r="DD18" s="837">
        <v>0</v>
      </c>
      <c r="DE18" s="837">
        <v>0</v>
      </c>
      <c r="DF18" s="837">
        <v>0</v>
      </c>
      <c r="DG18" s="834">
        <v>47346000</v>
      </c>
      <c r="DH18" s="837"/>
      <c r="DI18" s="837"/>
      <c r="DJ18" s="837"/>
      <c r="DK18" s="834">
        <v>31657524</v>
      </c>
      <c r="DL18" s="837">
        <v>4000000</v>
      </c>
      <c r="DM18" s="837">
        <v>4000000</v>
      </c>
      <c r="DN18" s="837">
        <v>4000000</v>
      </c>
      <c r="DO18" s="829"/>
      <c r="DP18" s="837"/>
      <c r="DQ18" s="837"/>
      <c r="DR18" s="837"/>
      <c r="DS18" s="829"/>
      <c r="DT18" s="837"/>
      <c r="DU18" s="837"/>
      <c r="DV18" s="837"/>
      <c r="DW18" s="829"/>
      <c r="DX18" s="837"/>
      <c r="DY18" s="837"/>
      <c r="DZ18" s="837"/>
      <c r="EA18" s="828"/>
      <c r="EB18" s="828"/>
      <c r="EC18" s="827"/>
      <c r="ED18" s="827"/>
      <c r="EE18" s="832">
        <f t="shared" si="21"/>
        <v>80000000</v>
      </c>
      <c r="EF18" s="832">
        <f t="shared" si="21"/>
        <v>4000000</v>
      </c>
      <c r="EG18" s="832">
        <f t="shared" si="21"/>
        <v>4000000</v>
      </c>
      <c r="EH18" s="832">
        <f t="shared" si="21"/>
        <v>4000000</v>
      </c>
      <c r="EI18" s="725">
        <f t="shared" si="4"/>
        <v>0</v>
      </c>
      <c r="EJ18" s="838"/>
      <c r="EK18" s="813"/>
    </row>
    <row r="19" spans="1:141" ht="36.75" customHeight="1" thickTop="1" thickBot="1" x14ac:dyDescent="0.3">
      <c r="A19" s="822" t="s">
        <v>1515</v>
      </c>
      <c r="B19" s="823">
        <f>SUM(B20:B21)</f>
        <v>672891949</v>
      </c>
      <c r="C19" s="823">
        <f t="shared" ref="C19:CE19" si="24">SUM(C20:C21)</f>
        <v>0</v>
      </c>
      <c r="D19" s="823">
        <f t="shared" si="24"/>
        <v>0</v>
      </c>
      <c r="E19" s="823">
        <f t="shared" si="24"/>
        <v>0</v>
      </c>
      <c r="F19" s="823">
        <f t="shared" si="24"/>
        <v>0</v>
      </c>
      <c r="G19" s="823">
        <f t="shared" si="24"/>
        <v>0</v>
      </c>
      <c r="H19" s="823">
        <f t="shared" si="24"/>
        <v>0</v>
      </c>
      <c r="I19" s="823">
        <f t="shared" si="24"/>
        <v>0</v>
      </c>
      <c r="J19" s="823">
        <f t="shared" si="24"/>
        <v>0</v>
      </c>
      <c r="K19" s="823">
        <f>SUM(K20:K21)</f>
        <v>0</v>
      </c>
      <c r="L19" s="823">
        <f>SUM(L20:L21)</f>
        <v>0</v>
      </c>
      <c r="M19" s="823">
        <f>SUM(M20:M21)</f>
        <v>0</v>
      </c>
      <c r="N19" s="823">
        <f>SUM(N20:N21)</f>
        <v>0</v>
      </c>
      <c r="O19" s="823">
        <f t="shared" si="24"/>
        <v>0</v>
      </c>
      <c r="P19" s="823">
        <f t="shared" si="24"/>
        <v>0</v>
      </c>
      <c r="Q19" s="823">
        <f t="shared" si="24"/>
        <v>0</v>
      </c>
      <c r="R19" s="823">
        <f t="shared" si="24"/>
        <v>0</v>
      </c>
      <c r="S19" s="823">
        <f t="shared" si="24"/>
        <v>0</v>
      </c>
      <c r="T19" s="823">
        <f t="shared" si="24"/>
        <v>0</v>
      </c>
      <c r="U19" s="823">
        <f t="shared" si="24"/>
        <v>0</v>
      </c>
      <c r="V19" s="823">
        <f t="shared" si="24"/>
        <v>0</v>
      </c>
      <c r="W19" s="823">
        <f t="shared" si="24"/>
        <v>54219081</v>
      </c>
      <c r="X19" s="823">
        <f t="shared" si="24"/>
        <v>0</v>
      </c>
      <c r="Y19" s="823">
        <f t="shared" si="24"/>
        <v>0</v>
      </c>
      <c r="Z19" s="823">
        <f t="shared" si="24"/>
        <v>0</v>
      </c>
      <c r="AA19" s="823">
        <f t="shared" si="24"/>
        <v>0</v>
      </c>
      <c r="AB19" s="823">
        <f t="shared" si="24"/>
        <v>0</v>
      </c>
      <c r="AC19" s="823">
        <f t="shared" si="24"/>
        <v>0</v>
      </c>
      <c r="AD19" s="823">
        <f t="shared" si="24"/>
        <v>0</v>
      </c>
      <c r="AE19" s="823">
        <f>SUM(AE20:AE21)</f>
        <v>0</v>
      </c>
      <c r="AF19" s="823">
        <f>SUM(AF20:AF21)</f>
        <v>0</v>
      </c>
      <c r="AG19" s="823">
        <f>SUM(AG20:AG21)</f>
        <v>0</v>
      </c>
      <c r="AH19" s="823">
        <f>SUM(AH20:AH21)</f>
        <v>0</v>
      </c>
      <c r="AI19" s="823">
        <f t="shared" si="24"/>
        <v>0</v>
      </c>
      <c r="AJ19" s="823">
        <f t="shared" si="24"/>
        <v>0</v>
      </c>
      <c r="AK19" s="823">
        <f t="shared" si="24"/>
        <v>0</v>
      </c>
      <c r="AL19" s="823">
        <f t="shared" si="24"/>
        <v>0</v>
      </c>
      <c r="AM19" s="823">
        <f t="shared" si="24"/>
        <v>0</v>
      </c>
      <c r="AN19" s="823">
        <f t="shared" si="24"/>
        <v>0</v>
      </c>
      <c r="AO19" s="823">
        <f t="shared" si="24"/>
        <v>0</v>
      </c>
      <c r="AP19" s="823">
        <f t="shared" si="24"/>
        <v>0</v>
      </c>
      <c r="AQ19" s="823">
        <f t="shared" si="24"/>
        <v>0</v>
      </c>
      <c r="AR19" s="823">
        <f t="shared" si="24"/>
        <v>0</v>
      </c>
      <c r="AS19" s="823">
        <f t="shared" si="24"/>
        <v>0</v>
      </c>
      <c r="AT19" s="823">
        <f t="shared" si="24"/>
        <v>0</v>
      </c>
      <c r="AU19" s="823">
        <f t="shared" si="24"/>
        <v>0</v>
      </c>
      <c r="AV19" s="823">
        <f t="shared" si="24"/>
        <v>0</v>
      </c>
      <c r="AW19" s="823">
        <f t="shared" si="24"/>
        <v>0</v>
      </c>
      <c r="AX19" s="823">
        <f t="shared" si="24"/>
        <v>0</v>
      </c>
      <c r="AY19" s="823">
        <f t="shared" si="24"/>
        <v>0</v>
      </c>
      <c r="AZ19" s="823">
        <f t="shared" si="24"/>
        <v>0</v>
      </c>
      <c r="BA19" s="823">
        <f t="shared" si="24"/>
        <v>0</v>
      </c>
      <c r="BB19" s="823">
        <f t="shared" si="24"/>
        <v>0</v>
      </c>
      <c r="BC19" s="823">
        <f t="shared" si="24"/>
        <v>0</v>
      </c>
      <c r="BD19" s="823">
        <f t="shared" si="24"/>
        <v>0</v>
      </c>
      <c r="BE19" s="823">
        <f t="shared" si="24"/>
        <v>0</v>
      </c>
      <c r="BF19" s="823">
        <f t="shared" si="24"/>
        <v>0</v>
      </c>
      <c r="BG19" s="823">
        <f t="shared" si="24"/>
        <v>606672868</v>
      </c>
      <c r="BH19" s="823">
        <f t="shared" si="24"/>
        <v>572000000</v>
      </c>
      <c r="BI19" s="823">
        <f t="shared" si="24"/>
        <v>432000000</v>
      </c>
      <c r="BJ19" s="823">
        <f t="shared" si="24"/>
        <v>432000000</v>
      </c>
      <c r="BK19" s="823">
        <f t="shared" si="24"/>
        <v>0</v>
      </c>
      <c r="BL19" s="823">
        <f t="shared" si="24"/>
        <v>0</v>
      </c>
      <c r="BM19" s="823">
        <f t="shared" si="24"/>
        <v>0</v>
      </c>
      <c r="BN19" s="823">
        <f t="shared" si="24"/>
        <v>0</v>
      </c>
      <c r="BO19" s="823">
        <f>SUM(BO20:BO21)</f>
        <v>0</v>
      </c>
      <c r="BP19" s="823">
        <f>SUM(BP20:BP21)</f>
        <v>0</v>
      </c>
      <c r="BQ19" s="823">
        <f>SUM(BQ20:BQ21)</f>
        <v>0</v>
      </c>
      <c r="BR19" s="823">
        <f>SUM(BR20:BR21)</f>
        <v>0</v>
      </c>
      <c r="BS19" s="823">
        <f t="shared" si="24"/>
        <v>0</v>
      </c>
      <c r="BT19" s="823">
        <f t="shared" si="24"/>
        <v>0</v>
      </c>
      <c r="BU19" s="823">
        <f t="shared" si="24"/>
        <v>0</v>
      </c>
      <c r="BV19" s="823">
        <f t="shared" si="24"/>
        <v>0</v>
      </c>
      <c r="BW19" s="823">
        <f t="shared" si="24"/>
        <v>0</v>
      </c>
      <c r="BX19" s="823">
        <f t="shared" si="24"/>
        <v>0</v>
      </c>
      <c r="BY19" s="823">
        <f t="shared" si="24"/>
        <v>0</v>
      </c>
      <c r="BZ19" s="823">
        <f t="shared" si="24"/>
        <v>0</v>
      </c>
      <c r="CA19" s="823">
        <f>SUM(CA20:CA21)</f>
        <v>0</v>
      </c>
      <c r="CB19" s="823">
        <f>SUM(CB20:CB21)</f>
        <v>0</v>
      </c>
      <c r="CC19" s="823">
        <f>SUM(CC20:CC21)</f>
        <v>0</v>
      </c>
      <c r="CD19" s="823">
        <f>SUM(CD20:CD21)</f>
        <v>0</v>
      </c>
      <c r="CE19" s="823">
        <f t="shared" si="24"/>
        <v>0</v>
      </c>
      <c r="CF19" s="823">
        <f t="shared" ref="CF19:ED19" si="25">SUM(CF20:CF21)</f>
        <v>0</v>
      </c>
      <c r="CG19" s="823">
        <f t="shared" si="25"/>
        <v>0</v>
      </c>
      <c r="CH19" s="823">
        <f t="shared" si="25"/>
        <v>0</v>
      </c>
      <c r="CI19" s="823">
        <f t="shared" si="25"/>
        <v>0</v>
      </c>
      <c r="CJ19" s="823">
        <f t="shared" si="25"/>
        <v>0</v>
      </c>
      <c r="CK19" s="823">
        <f t="shared" si="25"/>
        <v>0</v>
      </c>
      <c r="CL19" s="823">
        <f t="shared" si="25"/>
        <v>0</v>
      </c>
      <c r="CM19" s="823">
        <f t="shared" si="25"/>
        <v>12000000</v>
      </c>
      <c r="CN19" s="823">
        <f t="shared" si="25"/>
        <v>0</v>
      </c>
      <c r="CO19" s="823">
        <f t="shared" si="25"/>
        <v>0</v>
      </c>
      <c r="CP19" s="823">
        <f t="shared" si="25"/>
        <v>0</v>
      </c>
      <c r="CQ19" s="823">
        <f t="shared" si="25"/>
        <v>0</v>
      </c>
      <c r="CR19" s="823">
        <f t="shared" si="25"/>
        <v>0</v>
      </c>
      <c r="CS19" s="823">
        <f t="shared" si="25"/>
        <v>0</v>
      </c>
      <c r="CT19" s="823">
        <f t="shared" si="25"/>
        <v>0</v>
      </c>
      <c r="CU19" s="823">
        <f t="shared" si="25"/>
        <v>0</v>
      </c>
      <c r="CV19" s="823">
        <f t="shared" si="25"/>
        <v>0</v>
      </c>
      <c r="CW19" s="823">
        <f t="shared" si="25"/>
        <v>0</v>
      </c>
      <c r="CX19" s="823">
        <f t="shared" si="25"/>
        <v>0</v>
      </c>
      <c r="CY19" s="823">
        <f t="shared" si="25"/>
        <v>0</v>
      </c>
      <c r="CZ19" s="823">
        <f t="shared" si="25"/>
        <v>0</v>
      </c>
      <c r="DA19" s="823">
        <f t="shared" si="25"/>
        <v>0</v>
      </c>
      <c r="DB19" s="823">
        <f t="shared" si="25"/>
        <v>0</v>
      </c>
      <c r="DC19" s="823">
        <f t="shared" si="25"/>
        <v>0</v>
      </c>
      <c r="DD19" s="823">
        <f t="shared" si="25"/>
        <v>0</v>
      </c>
      <c r="DE19" s="823">
        <f t="shared" si="25"/>
        <v>0</v>
      </c>
      <c r="DF19" s="823">
        <f t="shared" si="25"/>
        <v>0</v>
      </c>
      <c r="DG19" s="823">
        <f t="shared" si="25"/>
        <v>0</v>
      </c>
      <c r="DH19" s="823">
        <f t="shared" si="25"/>
        <v>0</v>
      </c>
      <c r="DI19" s="823">
        <f t="shared" si="25"/>
        <v>0</v>
      </c>
      <c r="DJ19" s="823">
        <f t="shared" si="25"/>
        <v>0</v>
      </c>
      <c r="DK19" s="823">
        <f t="shared" si="25"/>
        <v>0</v>
      </c>
      <c r="DL19" s="823">
        <f t="shared" si="25"/>
        <v>0</v>
      </c>
      <c r="DM19" s="823">
        <f t="shared" si="25"/>
        <v>0</v>
      </c>
      <c r="DN19" s="823">
        <f t="shared" si="25"/>
        <v>0</v>
      </c>
      <c r="DO19" s="823">
        <f t="shared" si="25"/>
        <v>0</v>
      </c>
      <c r="DP19" s="823">
        <f t="shared" si="25"/>
        <v>0</v>
      </c>
      <c r="DQ19" s="823">
        <f t="shared" si="25"/>
        <v>0</v>
      </c>
      <c r="DR19" s="823">
        <f t="shared" si="25"/>
        <v>0</v>
      </c>
      <c r="DS19" s="823">
        <f t="shared" si="25"/>
        <v>0</v>
      </c>
      <c r="DT19" s="823">
        <f t="shared" si="25"/>
        <v>0</v>
      </c>
      <c r="DU19" s="823">
        <f t="shared" si="25"/>
        <v>0</v>
      </c>
      <c r="DV19" s="823">
        <f t="shared" si="25"/>
        <v>0</v>
      </c>
      <c r="DW19" s="823">
        <f t="shared" si="25"/>
        <v>0</v>
      </c>
      <c r="DX19" s="823">
        <f t="shared" si="25"/>
        <v>0</v>
      </c>
      <c r="DY19" s="823">
        <f t="shared" si="25"/>
        <v>0</v>
      </c>
      <c r="DZ19" s="823">
        <f t="shared" si="25"/>
        <v>0</v>
      </c>
      <c r="EA19" s="823">
        <f t="shared" si="25"/>
        <v>0</v>
      </c>
      <c r="EB19" s="823">
        <f t="shared" si="25"/>
        <v>0</v>
      </c>
      <c r="EC19" s="823">
        <f t="shared" si="25"/>
        <v>0</v>
      </c>
      <c r="ED19" s="823">
        <f t="shared" si="25"/>
        <v>0</v>
      </c>
      <c r="EE19" s="810">
        <f>+C19+G19+K19+O19+S19+W19+AA19+AE19+AI19+AM19+AQ19+AU19+AY19+BC19+BG19+BK19+BO19+BS19+BW19+CA19+CE19+CI19+CM19+CQ19+CU19+CY19+DC19+DG19+DK19+DO19+EA19+DS19+DW19</f>
        <v>672891949</v>
      </c>
      <c r="EF19" s="810">
        <f>+D19+H19+L19+P19+T19+X19+AB19+AF19+AJ19+AN19+AR19+AV19+AZ19+BD19+BH19+BL19+BP19+BT19+BX19+CB19+CF19+CJ19+CN19+CR19+CV19+CZ19+DD19+DH19+DL19+DP19+EB19+DT19+DX19</f>
        <v>572000000</v>
      </c>
      <c r="EG19" s="810">
        <f>+E19+I19+M19+Q19+U19+Y19+AC19+AG19+AK19+AO19+AS19+AW19+BA19+BE19+BI19+BM19+BQ19+BU19+BY19+CC19+CG19+CK19+CO19+CS19+CW19+DA19+DE19+DI19+DM19+DQ19+EC19+DU19+DY19</f>
        <v>432000000</v>
      </c>
      <c r="EH19" s="810">
        <f>+F19+J19+N19+R19+V19+Z19+AD19+AH19+AL19+AP19+AT19+AX19+BB19+BF19+BJ19+BN19+BR19+BV19+BZ19+CD19+CH19+CL19+CP19+CT19+CX19+DB19+DF19+DJ19+DN19+DR19+ED19+DV19+DZ19</f>
        <v>432000000</v>
      </c>
      <c r="EI19" s="824">
        <f t="shared" si="4"/>
        <v>0</v>
      </c>
      <c r="EK19" s="813"/>
    </row>
    <row r="20" spans="1:141" ht="27" thickTop="1" thickBot="1" x14ac:dyDescent="0.3">
      <c r="A20" s="825" t="s">
        <v>1516</v>
      </c>
      <c r="B20" s="826">
        <f>+'Anexo 5.2. informe Gastos'!I73</f>
        <v>54219081</v>
      </c>
      <c r="C20" s="827"/>
      <c r="D20" s="827"/>
      <c r="E20" s="827"/>
      <c r="F20" s="827"/>
      <c r="G20" s="827"/>
      <c r="H20" s="827"/>
      <c r="I20" s="827"/>
      <c r="J20" s="827"/>
      <c r="K20" s="827"/>
      <c r="L20" s="827"/>
      <c r="M20" s="827"/>
      <c r="N20" s="827"/>
      <c r="O20" s="828"/>
      <c r="P20" s="828"/>
      <c r="Q20" s="827"/>
      <c r="R20" s="828"/>
      <c r="S20" s="828"/>
      <c r="T20" s="828"/>
      <c r="U20" s="827"/>
      <c r="V20" s="827"/>
      <c r="W20" s="851">
        <v>54219081</v>
      </c>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c r="AT20" s="827"/>
      <c r="AU20" s="827"/>
      <c r="AV20" s="827"/>
      <c r="AW20" s="827"/>
      <c r="AX20" s="827"/>
      <c r="AY20" s="827"/>
      <c r="AZ20" s="827"/>
      <c r="BA20" s="827"/>
      <c r="BB20" s="827"/>
      <c r="BC20" s="827"/>
      <c r="BD20" s="827"/>
      <c r="BE20" s="827"/>
      <c r="BF20" s="827"/>
      <c r="BG20" s="827"/>
      <c r="BH20" s="827"/>
      <c r="BI20" s="827"/>
      <c r="BJ20" s="827"/>
      <c r="BK20" s="827"/>
      <c r="BL20" s="827"/>
      <c r="BM20" s="827"/>
      <c r="BN20" s="827"/>
      <c r="BO20" s="827"/>
      <c r="BP20" s="827"/>
      <c r="BQ20" s="827"/>
      <c r="BR20" s="827"/>
      <c r="BS20" s="827"/>
      <c r="BT20" s="827"/>
      <c r="BU20" s="827"/>
      <c r="BV20" s="827"/>
      <c r="BW20" s="827"/>
      <c r="BX20" s="827"/>
      <c r="BY20" s="827"/>
      <c r="BZ20" s="827"/>
      <c r="CA20" s="827"/>
      <c r="CB20" s="827"/>
      <c r="CC20" s="827"/>
      <c r="CD20" s="827"/>
      <c r="CE20" s="827"/>
      <c r="CF20" s="827"/>
      <c r="CG20" s="827"/>
      <c r="CH20" s="827"/>
      <c r="CI20" s="827"/>
      <c r="CJ20" s="827"/>
      <c r="CK20" s="827"/>
      <c r="CL20" s="827"/>
      <c r="CM20" s="829"/>
      <c r="CN20" s="837"/>
      <c r="CO20" s="837"/>
      <c r="CP20" s="837"/>
      <c r="CQ20" s="829"/>
      <c r="CR20" s="837"/>
      <c r="CS20" s="837"/>
      <c r="CT20" s="837"/>
      <c r="CU20" s="829"/>
      <c r="CV20" s="837"/>
      <c r="CW20" s="837"/>
      <c r="CX20" s="837"/>
      <c r="CY20" s="829"/>
      <c r="CZ20" s="837"/>
      <c r="DA20" s="837"/>
      <c r="DB20" s="837"/>
      <c r="DC20" s="829"/>
      <c r="DD20" s="837"/>
      <c r="DE20" s="837"/>
      <c r="DF20" s="837"/>
      <c r="DG20" s="829"/>
      <c r="DH20" s="837">
        <v>0</v>
      </c>
      <c r="DI20" s="837">
        <v>0</v>
      </c>
      <c r="DJ20" s="837">
        <v>0</v>
      </c>
      <c r="DK20" s="829"/>
      <c r="DL20" s="837">
        <v>0</v>
      </c>
      <c r="DM20" s="837">
        <v>0</v>
      </c>
      <c r="DN20" s="837">
        <v>0</v>
      </c>
      <c r="DO20" s="829"/>
      <c r="DP20" s="837"/>
      <c r="DQ20" s="837"/>
      <c r="DR20" s="837"/>
      <c r="DS20" s="829"/>
      <c r="DT20" s="837"/>
      <c r="DU20" s="837"/>
      <c r="DV20" s="837"/>
      <c r="DW20" s="829"/>
      <c r="DX20" s="837"/>
      <c r="DY20" s="837"/>
      <c r="DZ20" s="837"/>
      <c r="EA20" s="828"/>
      <c r="EB20" s="828"/>
      <c r="EC20" s="827"/>
      <c r="ED20" s="827"/>
      <c r="EE20" s="832">
        <f t="shared" ref="EE20:EH21" si="26">+C20+G20+K20+O20+S20+W20+AA20+AE20+AI20+AM20+AQ20+AU20+AY20+BC20+BG20+BK20+BO20+BS20+BW20+CA20+CE20+CI20+CM20+CQ20+CU20+CY20+DC20+DG20+DK20+DO20+EA20+DS20+DW20</f>
        <v>54219081</v>
      </c>
      <c r="EF20" s="832">
        <f t="shared" si="26"/>
        <v>0</v>
      </c>
      <c r="EG20" s="832">
        <f t="shared" si="26"/>
        <v>0</v>
      </c>
      <c r="EH20" s="832">
        <f t="shared" si="26"/>
        <v>0</v>
      </c>
      <c r="EI20" s="725">
        <f t="shared" si="4"/>
        <v>0</v>
      </c>
      <c r="EJ20" s="838"/>
      <c r="EK20" s="813"/>
    </row>
    <row r="21" spans="1:141" ht="16.5" thickTop="1" thickBot="1" x14ac:dyDescent="0.3">
      <c r="A21" s="825" t="s">
        <v>1517</v>
      </c>
      <c r="B21" s="826">
        <f>+'Anexo 5.2. informe Gastos'!I74</f>
        <v>618672868</v>
      </c>
      <c r="C21" s="827"/>
      <c r="D21" s="827"/>
      <c r="E21" s="827"/>
      <c r="F21" s="827"/>
      <c r="G21" s="827"/>
      <c r="H21" s="827"/>
      <c r="I21" s="827"/>
      <c r="J21" s="827"/>
      <c r="K21" s="827"/>
      <c r="L21" s="827"/>
      <c r="M21" s="827"/>
      <c r="N21" s="827"/>
      <c r="O21" s="828"/>
      <c r="P21" s="828"/>
      <c r="Q21" s="827"/>
      <c r="R21" s="828"/>
      <c r="S21" s="828"/>
      <c r="T21" s="828"/>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c r="AT21" s="827"/>
      <c r="AU21" s="827"/>
      <c r="AV21" s="827"/>
      <c r="AW21" s="827"/>
      <c r="AX21" s="827"/>
      <c r="AY21" s="827"/>
      <c r="AZ21" s="827"/>
      <c r="BA21" s="827"/>
      <c r="BB21" s="827"/>
      <c r="BC21" s="827"/>
      <c r="BD21" s="827"/>
      <c r="BE21" s="827"/>
      <c r="BF21" s="827"/>
      <c r="BG21" s="839">
        <v>606672868</v>
      </c>
      <c r="BH21" s="827">
        <v>572000000</v>
      </c>
      <c r="BI21" s="827">
        <v>432000000</v>
      </c>
      <c r="BJ21" s="827">
        <v>432000000</v>
      </c>
      <c r="BK21" s="827"/>
      <c r="BL21" s="827"/>
      <c r="BM21" s="827"/>
      <c r="BN21" s="827"/>
      <c r="BO21" s="827"/>
      <c r="BP21" s="827"/>
      <c r="BQ21" s="827"/>
      <c r="BR21" s="827"/>
      <c r="BS21" s="827"/>
      <c r="BT21" s="827"/>
      <c r="BU21" s="827"/>
      <c r="BV21" s="827"/>
      <c r="BW21" s="827"/>
      <c r="BX21" s="827"/>
      <c r="BY21" s="827"/>
      <c r="BZ21" s="827"/>
      <c r="CA21" s="827"/>
      <c r="CB21" s="827"/>
      <c r="CC21" s="827"/>
      <c r="CD21" s="827"/>
      <c r="CE21" s="827"/>
      <c r="CF21" s="827"/>
      <c r="CG21" s="827"/>
      <c r="CH21" s="827"/>
      <c r="CI21" s="827"/>
      <c r="CJ21" s="827"/>
      <c r="CK21" s="827"/>
      <c r="CL21" s="827"/>
      <c r="CM21" s="829">
        <v>12000000</v>
      </c>
      <c r="CN21" s="837"/>
      <c r="CO21" s="837"/>
      <c r="CP21" s="837"/>
      <c r="CQ21" s="829"/>
      <c r="CR21" s="837"/>
      <c r="CS21" s="837"/>
      <c r="CT21" s="837"/>
      <c r="CU21" s="829"/>
      <c r="CV21" s="837"/>
      <c r="CW21" s="837"/>
      <c r="CX21" s="837"/>
      <c r="CY21" s="837"/>
      <c r="CZ21" s="837">
        <v>0</v>
      </c>
      <c r="DA21" s="837">
        <v>0</v>
      </c>
      <c r="DB21" s="837">
        <v>0</v>
      </c>
      <c r="DC21" s="840"/>
      <c r="DD21" s="837"/>
      <c r="DE21" s="837"/>
      <c r="DF21" s="837"/>
      <c r="DG21" s="829"/>
      <c r="DH21" s="837"/>
      <c r="DI21" s="837"/>
      <c r="DJ21" s="837"/>
      <c r="DK21" s="829"/>
      <c r="DL21" s="837"/>
      <c r="DM21" s="837"/>
      <c r="DN21" s="837"/>
      <c r="DO21" s="829"/>
      <c r="DP21" s="837"/>
      <c r="DQ21" s="837"/>
      <c r="DR21" s="837"/>
      <c r="DS21" s="829"/>
      <c r="DT21" s="837"/>
      <c r="DU21" s="837"/>
      <c r="DV21" s="837"/>
      <c r="DW21" s="829"/>
      <c r="DX21" s="837"/>
      <c r="DY21" s="837"/>
      <c r="DZ21" s="837"/>
      <c r="EA21" s="828"/>
      <c r="EB21" s="828"/>
      <c r="EC21" s="827"/>
      <c r="ED21" s="827"/>
      <c r="EE21" s="832">
        <f t="shared" si="26"/>
        <v>618672868</v>
      </c>
      <c r="EF21" s="832">
        <f t="shared" si="26"/>
        <v>572000000</v>
      </c>
      <c r="EG21" s="832">
        <f t="shared" si="26"/>
        <v>432000000</v>
      </c>
      <c r="EH21" s="832">
        <f t="shared" si="26"/>
        <v>432000000</v>
      </c>
      <c r="EI21" s="833">
        <f t="shared" si="4"/>
        <v>0</v>
      </c>
      <c r="EJ21" s="838"/>
      <c r="EK21" s="813"/>
    </row>
    <row r="22" spans="1:141" ht="34.5" customHeight="1" thickTop="1" thickBot="1" x14ac:dyDescent="0.3">
      <c r="A22" s="822" t="s">
        <v>1518</v>
      </c>
      <c r="B22" s="823">
        <f t="shared" ref="B22:BM22" si="27">SUM(B23:B23)</f>
        <v>50000000</v>
      </c>
      <c r="C22" s="823">
        <f t="shared" si="27"/>
        <v>0</v>
      </c>
      <c r="D22" s="823">
        <f t="shared" si="27"/>
        <v>0</v>
      </c>
      <c r="E22" s="823">
        <f t="shared" si="27"/>
        <v>0</v>
      </c>
      <c r="F22" s="823">
        <f t="shared" si="27"/>
        <v>0</v>
      </c>
      <c r="G22" s="823">
        <f t="shared" si="27"/>
        <v>0</v>
      </c>
      <c r="H22" s="823">
        <f t="shared" si="27"/>
        <v>0</v>
      </c>
      <c r="I22" s="823">
        <f t="shared" si="27"/>
        <v>0</v>
      </c>
      <c r="J22" s="823">
        <f t="shared" si="27"/>
        <v>0</v>
      </c>
      <c r="K22" s="823">
        <f t="shared" si="27"/>
        <v>0</v>
      </c>
      <c r="L22" s="823">
        <f t="shared" si="27"/>
        <v>0</v>
      </c>
      <c r="M22" s="823">
        <f t="shared" si="27"/>
        <v>0</v>
      </c>
      <c r="N22" s="823">
        <f t="shared" si="27"/>
        <v>0</v>
      </c>
      <c r="O22" s="823">
        <f t="shared" si="27"/>
        <v>0</v>
      </c>
      <c r="P22" s="823">
        <f t="shared" si="27"/>
        <v>0</v>
      </c>
      <c r="Q22" s="823">
        <f t="shared" si="27"/>
        <v>0</v>
      </c>
      <c r="R22" s="823">
        <f t="shared" si="27"/>
        <v>0</v>
      </c>
      <c r="S22" s="823">
        <f t="shared" si="27"/>
        <v>0</v>
      </c>
      <c r="T22" s="823">
        <f t="shared" si="27"/>
        <v>0</v>
      </c>
      <c r="U22" s="823">
        <f t="shared" si="27"/>
        <v>0</v>
      </c>
      <c r="V22" s="823">
        <f t="shared" si="27"/>
        <v>0</v>
      </c>
      <c r="W22" s="823">
        <f t="shared" si="27"/>
        <v>0</v>
      </c>
      <c r="X22" s="823">
        <f t="shared" si="27"/>
        <v>0</v>
      </c>
      <c r="Y22" s="823">
        <f t="shared" si="27"/>
        <v>0</v>
      </c>
      <c r="Z22" s="823">
        <f t="shared" si="27"/>
        <v>0</v>
      </c>
      <c r="AA22" s="823">
        <f t="shared" si="27"/>
        <v>0</v>
      </c>
      <c r="AB22" s="823">
        <f t="shared" si="27"/>
        <v>0</v>
      </c>
      <c r="AC22" s="823">
        <f t="shared" si="27"/>
        <v>0</v>
      </c>
      <c r="AD22" s="823">
        <f t="shared" si="27"/>
        <v>0</v>
      </c>
      <c r="AE22" s="823">
        <f t="shared" si="27"/>
        <v>0</v>
      </c>
      <c r="AF22" s="823">
        <f t="shared" si="27"/>
        <v>0</v>
      </c>
      <c r="AG22" s="823">
        <f t="shared" si="27"/>
        <v>0</v>
      </c>
      <c r="AH22" s="823">
        <f t="shared" si="27"/>
        <v>0</v>
      </c>
      <c r="AI22" s="823">
        <f t="shared" si="27"/>
        <v>0</v>
      </c>
      <c r="AJ22" s="823">
        <f t="shared" si="27"/>
        <v>0</v>
      </c>
      <c r="AK22" s="823">
        <f t="shared" si="27"/>
        <v>0</v>
      </c>
      <c r="AL22" s="823">
        <f t="shared" si="27"/>
        <v>0</v>
      </c>
      <c r="AM22" s="823">
        <f t="shared" si="27"/>
        <v>0</v>
      </c>
      <c r="AN22" s="823">
        <f t="shared" si="27"/>
        <v>0</v>
      </c>
      <c r="AO22" s="823">
        <f t="shared" si="27"/>
        <v>0</v>
      </c>
      <c r="AP22" s="823">
        <f t="shared" si="27"/>
        <v>0</v>
      </c>
      <c r="AQ22" s="823">
        <f t="shared" si="27"/>
        <v>0</v>
      </c>
      <c r="AR22" s="823">
        <f t="shared" si="27"/>
        <v>0</v>
      </c>
      <c r="AS22" s="823">
        <f t="shared" si="27"/>
        <v>0</v>
      </c>
      <c r="AT22" s="823">
        <f t="shared" si="27"/>
        <v>0</v>
      </c>
      <c r="AU22" s="823">
        <f t="shared" si="27"/>
        <v>0</v>
      </c>
      <c r="AV22" s="823">
        <f t="shared" si="27"/>
        <v>0</v>
      </c>
      <c r="AW22" s="823">
        <f t="shared" si="27"/>
        <v>0</v>
      </c>
      <c r="AX22" s="823">
        <f t="shared" si="27"/>
        <v>0</v>
      </c>
      <c r="AY22" s="823">
        <f t="shared" si="27"/>
        <v>0</v>
      </c>
      <c r="AZ22" s="823">
        <f t="shared" si="27"/>
        <v>0</v>
      </c>
      <c r="BA22" s="823">
        <f t="shared" si="27"/>
        <v>0</v>
      </c>
      <c r="BB22" s="823">
        <f t="shared" si="27"/>
        <v>0</v>
      </c>
      <c r="BC22" s="823">
        <f t="shared" si="27"/>
        <v>0</v>
      </c>
      <c r="BD22" s="823">
        <f t="shared" si="27"/>
        <v>0</v>
      </c>
      <c r="BE22" s="823">
        <f t="shared" si="27"/>
        <v>0</v>
      </c>
      <c r="BF22" s="823">
        <f t="shared" si="27"/>
        <v>0</v>
      </c>
      <c r="BG22" s="823">
        <f t="shared" si="27"/>
        <v>0</v>
      </c>
      <c r="BH22" s="823">
        <f t="shared" si="27"/>
        <v>0</v>
      </c>
      <c r="BI22" s="823">
        <f t="shared" si="27"/>
        <v>0</v>
      </c>
      <c r="BJ22" s="823">
        <f t="shared" si="27"/>
        <v>0</v>
      </c>
      <c r="BK22" s="823">
        <f t="shared" si="27"/>
        <v>0</v>
      </c>
      <c r="BL22" s="823">
        <f t="shared" si="27"/>
        <v>0</v>
      </c>
      <c r="BM22" s="823">
        <f t="shared" si="27"/>
        <v>0</v>
      </c>
      <c r="BN22" s="823">
        <f t="shared" ref="BN22:ED22" si="28">SUM(BN23:BN23)</f>
        <v>0</v>
      </c>
      <c r="BO22" s="823">
        <f t="shared" si="28"/>
        <v>0</v>
      </c>
      <c r="BP22" s="823">
        <f t="shared" si="28"/>
        <v>0</v>
      </c>
      <c r="BQ22" s="823">
        <f t="shared" si="28"/>
        <v>0</v>
      </c>
      <c r="BR22" s="823">
        <f t="shared" si="28"/>
        <v>0</v>
      </c>
      <c r="BS22" s="823">
        <f t="shared" si="28"/>
        <v>0</v>
      </c>
      <c r="BT22" s="823">
        <f t="shared" si="28"/>
        <v>0</v>
      </c>
      <c r="BU22" s="823">
        <f t="shared" si="28"/>
        <v>0</v>
      </c>
      <c r="BV22" s="823">
        <f t="shared" si="28"/>
        <v>0</v>
      </c>
      <c r="BW22" s="823">
        <f t="shared" si="28"/>
        <v>0</v>
      </c>
      <c r="BX22" s="823">
        <f t="shared" si="28"/>
        <v>0</v>
      </c>
      <c r="BY22" s="823">
        <f t="shared" si="28"/>
        <v>0</v>
      </c>
      <c r="BZ22" s="823">
        <f t="shared" si="28"/>
        <v>0</v>
      </c>
      <c r="CA22" s="823">
        <f t="shared" si="28"/>
        <v>0</v>
      </c>
      <c r="CB22" s="823">
        <f t="shared" si="28"/>
        <v>0</v>
      </c>
      <c r="CC22" s="823">
        <f t="shared" si="28"/>
        <v>0</v>
      </c>
      <c r="CD22" s="823">
        <f t="shared" si="28"/>
        <v>0</v>
      </c>
      <c r="CE22" s="823">
        <f t="shared" si="28"/>
        <v>0</v>
      </c>
      <c r="CF22" s="823">
        <f t="shared" si="28"/>
        <v>0</v>
      </c>
      <c r="CG22" s="823">
        <f t="shared" si="28"/>
        <v>0</v>
      </c>
      <c r="CH22" s="823">
        <f t="shared" si="28"/>
        <v>0</v>
      </c>
      <c r="CI22" s="823">
        <f t="shared" si="28"/>
        <v>0</v>
      </c>
      <c r="CJ22" s="823">
        <f t="shared" si="28"/>
        <v>0</v>
      </c>
      <c r="CK22" s="823">
        <f t="shared" si="28"/>
        <v>0</v>
      </c>
      <c r="CL22" s="823">
        <f t="shared" si="28"/>
        <v>0</v>
      </c>
      <c r="CM22" s="823">
        <f t="shared" si="28"/>
        <v>50000000</v>
      </c>
      <c r="CN22" s="823">
        <f t="shared" si="28"/>
        <v>0</v>
      </c>
      <c r="CO22" s="823">
        <f t="shared" si="28"/>
        <v>0</v>
      </c>
      <c r="CP22" s="823">
        <f t="shared" si="28"/>
        <v>0</v>
      </c>
      <c r="CQ22" s="823">
        <f t="shared" si="28"/>
        <v>0</v>
      </c>
      <c r="CR22" s="823">
        <f t="shared" si="28"/>
        <v>0</v>
      </c>
      <c r="CS22" s="823">
        <f t="shared" si="28"/>
        <v>0</v>
      </c>
      <c r="CT22" s="823">
        <f t="shared" si="28"/>
        <v>0</v>
      </c>
      <c r="CU22" s="823">
        <f t="shared" si="28"/>
        <v>0</v>
      </c>
      <c r="CV22" s="823">
        <f t="shared" si="28"/>
        <v>0</v>
      </c>
      <c r="CW22" s="823">
        <f t="shared" si="28"/>
        <v>0</v>
      </c>
      <c r="CX22" s="823">
        <f t="shared" si="28"/>
        <v>0</v>
      </c>
      <c r="CY22" s="823">
        <f t="shared" si="28"/>
        <v>0</v>
      </c>
      <c r="CZ22" s="823">
        <f t="shared" si="28"/>
        <v>0</v>
      </c>
      <c r="DA22" s="823">
        <f t="shared" si="28"/>
        <v>0</v>
      </c>
      <c r="DB22" s="823">
        <f t="shared" si="28"/>
        <v>0</v>
      </c>
      <c r="DC22" s="823">
        <f t="shared" si="28"/>
        <v>0</v>
      </c>
      <c r="DD22" s="823">
        <f t="shared" si="28"/>
        <v>0</v>
      </c>
      <c r="DE22" s="823">
        <f t="shared" si="28"/>
        <v>0</v>
      </c>
      <c r="DF22" s="823">
        <f t="shared" si="28"/>
        <v>0</v>
      </c>
      <c r="DG22" s="823">
        <f t="shared" si="28"/>
        <v>0</v>
      </c>
      <c r="DH22" s="823">
        <f t="shared" si="28"/>
        <v>0</v>
      </c>
      <c r="DI22" s="823">
        <f t="shared" si="28"/>
        <v>0</v>
      </c>
      <c r="DJ22" s="823">
        <f t="shared" si="28"/>
        <v>0</v>
      </c>
      <c r="DK22" s="823">
        <f t="shared" si="28"/>
        <v>0</v>
      </c>
      <c r="DL22" s="823">
        <f t="shared" si="28"/>
        <v>0</v>
      </c>
      <c r="DM22" s="823">
        <f t="shared" si="28"/>
        <v>0</v>
      </c>
      <c r="DN22" s="823">
        <f t="shared" si="28"/>
        <v>0</v>
      </c>
      <c r="DO22" s="823">
        <f t="shared" si="28"/>
        <v>0</v>
      </c>
      <c r="DP22" s="823">
        <f t="shared" si="28"/>
        <v>0</v>
      </c>
      <c r="DQ22" s="823">
        <f t="shared" si="28"/>
        <v>0</v>
      </c>
      <c r="DR22" s="823">
        <f t="shared" si="28"/>
        <v>0</v>
      </c>
      <c r="DS22" s="823">
        <f t="shared" si="28"/>
        <v>0</v>
      </c>
      <c r="DT22" s="823">
        <f t="shared" si="28"/>
        <v>0</v>
      </c>
      <c r="DU22" s="823">
        <f t="shared" si="28"/>
        <v>0</v>
      </c>
      <c r="DV22" s="823">
        <f t="shared" si="28"/>
        <v>0</v>
      </c>
      <c r="DW22" s="823">
        <f t="shared" si="28"/>
        <v>0</v>
      </c>
      <c r="DX22" s="823">
        <f t="shared" si="28"/>
        <v>0</v>
      </c>
      <c r="DY22" s="823">
        <f t="shared" si="28"/>
        <v>0</v>
      </c>
      <c r="DZ22" s="823">
        <f t="shared" si="28"/>
        <v>0</v>
      </c>
      <c r="EA22" s="823">
        <f t="shared" si="28"/>
        <v>0</v>
      </c>
      <c r="EB22" s="823">
        <f t="shared" si="28"/>
        <v>0</v>
      </c>
      <c r="EC22" s="823">
        <f t="shared" si="28"/>
        <v>0</v>
      </c>
      <c r="ED22" s="823">
        <f t="shared" si="28"/>
        <v>0</v>
      </c>
      <c r="EE22" s="810">
        <f>+C22+G22+K22+O22+S22+W22+AA22+AE22+AI22+AM22+AQ22+AU22+AY22+BC22+BG22+BK22+BO22+BS22+BW22+CA22+CE22+CI22+CM22+CQ22+CU22+CY22+DC22+DG22+DK22+DO22+EA22+DS22+DW22</f>
        <v>50000000</v>
      </c>
      <c r="EF22" s="810">
        <f>+D22+H22+L22+P22+T22+X22+AB22+AF22+AJ22+AN22+AR22+AV22+AZ22+BD22+BH22+BL22+BP22+BT22+BX22+CB22+CF22+CJ22+CN22+CR22+CV22+CZ22+DD22+DH22+DL22+DP22+EB22+DT22+DX22</f>
        <v>0</v>
      </c>
      <c r="EG22" s="810">
        <f>+E22+I22+M22+Q22+U22+Y22+AC22+AG22+AK22+AO22+AS22+AW22+BA22+BE22+BI22+BM22+BQ22+BU22+BY22+CC22+CG22+CK22+CO22+CS22+CW22+DA22+DE22+DI22+DM22+DQ22+EC22+DU22+DY22</f>
        <v>0</v>
      </c>
      <c r="EH22" s="810">
        <f>+F22+J22+N22+R22+V22+Z22+AD22+AH22+AL22+AP22+AT22+AX22+BB22+BF22+BJ22+BN22+BR22+BV22+BZ22+CD22+CH22+CL22+CP22+CT22+CX22+DB22+DF22+DJ22+DN22+DR22+ED22+DV22+DZ22</f>
        <v>0</v>
      </c>
      <c r="EI22" s="824">
        <f t="shared" si="4"/>
        <v>0</v>
      </c>
      <c r="EK22" s="813"/>
    </row>
    <row r="23" spans="1:141" ht="21.75" customHeight="1" thickTop="1" thickBot="1" x14ac:dyDescent="0.3">
      <c r="A23" s="825" t="s">
        <v>1520</v>
      </c>
      <c r="B23" s="826">
        <f>+'Anexo 5.2. informe Gastos'!I78</f>
        <v>50000000</v>
      </c>
      <c r="C23" s="827"/>
      <c r="D23" s="827"/>
      <c r="E23" s="827"/>
      <c r="F23" s="827"/>
      <c r="G23" s="827"/>
      <c r="H23" s="827"/>
      <c r="I23" s="827"/>
      <c r="J23" s="827"/>
      <c r="K23" s="827"/>
      <c r="L23" s="827"/>
      <c r="M23" s="827"/>
      <c r="N23" s="827"/>
      <c r="O23" s="828"/>
      <c r="P23" s="828"/>
      <c r="Q23" s="827"/>
      <c r="R23" s="828"/>
      <c r="S23" s="828"/>
      <c r="T23" s="828"/>
      <c r="U23" s="827"/>
      <c r="V23" s="827"/>
      <c r="W23" s="827"/>
      <c r="X23" s="827"/>
      <c r="Y23" s="827"/>
      <c r="Z23" s="827"/>
      <c r="AA23" s="827"/>
      <c r="AB23" s="827"/>
      <c r="AC23" s="827"/>
      <c r="AD23" s="827"/>
      <c r="AE23" s="827"/>
      <c r="AF23" s="827"/>
      <c r="AG23" s="827"/>
      <c r="AH23" s="827"/>
      <c r="AI23" s="827"/>
      <c r="AJ23" s="827"/>
      <c r="AK23" s="827"/>
      <c r="AL23" s="827"/>
      <c r="AM23" s="827"/>
      <c r="AN23" s="827"/>
      <c r="AO23" s="827"/>
      <c r="AP23" s="827"/>
      <c r="AQ23" s="827"/>
      <c r="AR23" s="827"/>
      <c r="AS23" s="827"/>
      <c r="AT23" s="827"/>
      <c r="AU23" s="827"/>
      <c r="AV23" s="827"/>
      <c r="AW23" s="827"/>
      <c r="AX23" s="827"/>
      <c r="AY23" s="827"/>
      <c r="AZ23" s="827"/>
      <c r="BA23" s="827"/>
      <c r="BB23" s="827"/>
      <c r="BC23" s="827"/>
      <c r="BD23" s="827"/>
      <c r="BE23" s="827"/>
      <c r="BF23" s="827"/>
      <c r="BG23" s="827"/>
      <c r="BH23" s="827"/>
      <c r="BI23" s="827"/>
      <c r="BJ23" s="827"/>
      <c r="BK23" s="827"/>
      <c r="BL23" s="827"/>
      <c r="BM23" s="827"/>
      <c r="BN23" s="827"/>
      <c r="BO23" s="827"/>
      <c r="BP23" s="827"/>
      <c r="BQ23" s="827"/>
      <c r="BR23" s="827"/>
      <c r="BS23" s="827"/>
      <c r="BT23" s="827"/>
      <c r="BU23" s="827"/>
      <c r="BV23" s="827"/>
      <c r="BW23" s="827"/>
      <c r="BX23" s="827"/>
      <c r="BY23" s="827"/>
      <c r="BZ23" s="827"/>
      <c r="CA23" s="827"/>
      <c r="CB23" s="827"/>
      <c r="CC23" s="827"/>
      <c r="CD23" s="827"/>
      <c r="CE23" s="827"/>
      <c r="CF23" s="827"/>
      <c r="CG23" s="827"/>
      <c r="CH23" s="827"/>
      <c r="CI23" s="827"/>
      <c r="CJ23" s="827"/>
      <c r="CK23" s="827"/>
      <c r="CL23" s="827"/>
      <c r="CM23" s="834">
        <v>50000000</v>
      </c>
      <c r="CN23" s="837"/>
      <c r="CO23" s="837"/>
      <c r="CP23" s="837"/>
      <c r="CQ23" s="829"/>
      <c r="CR23" s="837"/>
      <c r="CS23" s="837"/>
      <c r="CT23" s="837"/>
      <c r="CU23" s="829"/>
      <c r="CV23" s="837"/>
      <c r="CW23" s="837"/>
      <c r="CX23" s="837"/>
      <c r="CY23" s="829"/>
      <c r="CZ23" s="837"/>
      <c r="DA23" s="837"/>
      <c r="DB23" s="837"/>
      <c r="DC23" s="829"/>
      <c r="DD23" s="837"/>
      <c r="DE23" s="837"/>
      <c r="DF23" s="837"/>
      <c r="DG23" s="829"/>
      <c r="DH23" s="837"/>
      <c r="DI23" s="837"/>
      <c r="DJ23" s="837"/>
      <c r="DK23" s="829"/>
      <c r="DL23" s="837">
        <v>0</v>
      </c>
      <c r="DM23" s="837">
        <v>0</v>
      </c>
      <c r="DN23" s="837">
        <v>0</v>
      </c>
      <c r="DO23" s="829">
        <v>0</v>
      </c>
      <c r="DP23" s="837">
        <v>0</v>
      </c>
      <c r="DQ23" s="837">
        <v>0</v>
      </c>
      <c r="DR23" s="837">
        <v>0</v>
      </c>
      <c r="DS23" s="829">
        <v>0</v>
      </c>
      <c r="DT23" s="837">
        <v>0</v>
      </c>
      <c r="DU23" s="837">
        <v>0</v>
      </c>
      <c r="DV23" s="837">
        <v>0</v>
      </c>
      <c r="DW23" s="829">
        <v>0</v>
      </c>
      <c r="DX23" s="837">
        <v>0</v>
      </c>
      <c r="DY23" s="837">
        <v>0</v>
      </c>
      <c r="DZ23" s="837">
        <v>0</v>
      </c>
      <c r="EA23" s="828"/>
      <c r="EB23" s="828"/>
      <c r="EC23" s="827"/>
      <c r="ED23" s="827"/>
      <c r="EE23" s="832">
        <f t="shared" ref="EE23:EH23" si="29">+C23+G23+K23+O23+S23+W23+AA23+AE23+AI23+AM23+AQ23+AU23+AY23+BC23+BG23+BK23+BO23+BS23+BW23+CA23+CE23+CI23+CM23+CQ23+CU23+CY23+DC23+DG23+DK23+DO23+EA23+DS23+DW23</f>
        <v>50000000</v>
      </c>
      <c r="EF23" s="832">
        <f t="shared" si="29"/>
        <v>0</v>
      </c>
      <c r="EG23" s="832">
        <f t="shared" si="29"/>
        <v>0</v>
      </c>
      <c r="EH23" s="832">
        <f t="shared" si="29"/>
        <v>0</v>
      </c>
      <c r="EI23" s="725">
        <f t="shared" si="4"/>
        <v>0</v>
      </c>
      <c r="EJ23" s="838"/>
      <c r="EK23" s="813"/>
    </row>
    <row r="24" spans="1:141" ht="27" thickTop="1" thickBot="1" x14ac:dyDescent="0.3">
      <c r="A24" s="822" t="s">
        <v>1525</v>
      </c>
      <c r="B24" s="823">
        <f t="shared" ref="B24:BM24" si="30">SUM(B25:B27)</f>
        <v>4566522000</v>
      </c>
      <c r="C24" s="823">
        <f t="shared" si="30"/>
        <v>626849694</v>
      </c>
      <c r="D24" s="823">
        <f t="shared" si="30"/>
        <v>243200000</v>
      </c>
      <c r="E24" s="823">
        <f t="shared" si="30"/>
        <v>243200000</v>
      </c>
      <c r="F24" s="823">
        <f t="shared" si="30"/>
        <v>243200000</v>
      </c>
      <c r="G24" s="823">
        <f t="shared" si="30"/>
        <v>56411629</v>
      </c>
      <c r="H24" s="823">
        <f t="shared" si="30"/>
        <v>0</v>
      </c>
      <c r="I24" s="823">
        <f t="shared" si="30"/>
        <v>0</v>
      </c>
      <c r="J24" s="823">
        <f t="shared" si="30"/>
        <v>0</v>
      </c>
      <c r="K24" s="823">
        <f t="shared" si="30"/>
        <v>36008757</v>
      </c>
      <c r="L24" s="823">
        <f t="shared" si="30"/>
        <v>0</v>
      </c>
      <c r="M24" s="823">
        <f t="shared" si="30"/>
        <v>0</v>
      </c>
      <c r="N24" s="823">
        <f t="shared" si="30"/>
        <v>0</v>
      </c>
      <c r="O24" s="823">
        <f t="shared" si="30"/>
        <v>1350000</v>
      </c>
      <c r="P24" s="823">
        <f t="shared" si="30"/>
        <v>0</v>
      </c>
      <c r="Q24" s="823">
        <f t="shared" si="30"/>
        <v>0</v>
      </c>
      <c r="R24" s="823">
        <f t="shared" si="30"/>
        <v>0</v>
      </c>
      <c r="S24" s="823">
        <f t="shared" si="30"/>
        <v>0</v>
      </c>
      <c r="T24" s="823">
        <f t="shared" si="30"/>
        <v>0</v>
      </c>
      <c r="U24" s="823">
        <f t="shared" si="30"/>
        <v>0</v>
      </c>
      <c r="V24" s="823">
        <f t="shared" si="30"/>
        <v>0</v>
      </c>
      <c r="W24" s="823">
        <f t="shared" si="30"/>
        <v>0</v>
      </c>
      <c r="X24" s="823">
        <f t="shared" si="30"/>
        <v>0</v>
      </c>
      <c r="Y24" s="823">
        <f t="shared" si="30"/>
        <v>0</v>
      </c>
      <c r="Z24" s="823">
        <f t="shared" si="30"/>
        <v>0</v>
      </c>
      <c r="AA24" s="823">
        <f t="shared" si="30"/>
        <v>0</v>
      </c>
      <c r="AB24" s="823">
        <f t="shared" si="30"/>
        <v>0</v>
      </c>
      <c r="AC24" s="823">
        <f t="shared" si="30"/>
        <v>0</v>
      </c>
      <c r="AD24" s="823">
        <f t="shared" si="30"/>
        <v>0</v>
      </c>
      <c r="AE24" s="823">
        <f t="shared" si="30"/>
        <v>0</v>
      </c>
      <c r="AF24" s="823">
        <f t="shared" si="30"/>
        <v>0</v>
      </c>
      <c r="AG24" s="823">
        <f t="shared" si="30"/>
        <v>0</v>
      </c>
      <c r="AH24" s="823">
        <f t="shared" si="30"/>
        <v>0</v>
      </c>
      <c r="AI24" s="823">
        <f t="shared" si="30"/>
        <v>0</v>
      </c>
      <c r="AJ24" s="823">
        <f t="shared" si="30"/>
        <v>0</v>
      </c>
      <c r="AK24" s="823">
        <f t="shared" si="30"/>
        <v>0</v>
      </c>
      <c r="AL24" s="823">
        <f t="shared" si="30"/>
        <v>0</v>
      </c>
      <c r="AM24" s="823">
        <f t="shared" si="30"/>
        <v>0</v>
      </c>
      <c r="AN24" s="823">
        <f t="shared" si="30"/>
        <v>0</v>
      </c>
      <c r="AO24" s="823">
        <f t="shared" si="30"/>
        <v>0</v>
      </c>
      <c r="AP24" s="823">
        <f t="shared" si="30"/>
        <v>0</v>
      </c>
      <c r="AQ24" s="823">
        <f t="shared" si="30"/>
        <v>0</v>
      </c>
      <c r="AR24" s="823">
        <f t="shared" si="30"/>
        <v>0</v>
      </c>
      <c r="AS24" s="823">
        <f t="shared" si="30"/>
        <v>0</v>
      </c>
      <c r="AT24" s="823">
        <f t="shared" si="30"/>
        <v>0</v>
      </c>
      <c r="AU24" s="823">
        <f t="shared" si="30"/>
        <v>0</v>
      </c>
      <c r="AV24" s="823">
        <f t="shared" si="30"/>
        <v>0</v>
      </c>
      <c r="AW24" s="823">
        <f t="shared" si="30"/>
        <v>0</v>
      </c>
      <c r="AX24" s="823">
        <f t="shared" si="30"/>
        <v>0</v>
      </c>
      <c r="AY24" s="823">
        <f t="shared" si="30"/>
        <v>0</v>
      </c>
      <c r="AZ24" s="823">
        <f t="shared" si="30"/>
        <v>0</v>
      </c>
      <c r="BA24" s="823">
        <f t="shared" si="30"/>
        <v>0</v>
      </c>
      <c r="BB24" s="823">
        <f t="shared" si="30"/>
        <v>0</v>
      </c>
      <c r="BC24" s="823">
        <f t="shared" si="30"/>
        <v>0</v>
      </c>
      <c r="BD24" s="823">
        <f t="shared" si="30"/>
        <v>0</v>
      </c>
      <c r="BE24" s="823">
        <f t="shared" si="30"/>
        <v>0</v>
      </c>
      <c r="BF24" s="823">
        <f t="shared" si="30"/>
        <v>0</v>
      </c>
      <c r="BG24" s="823">
        <f t="shared" si="30"/>
        <v>0</v>
      </c>
      <c r="BH24" s="823">
        <f t="shared" si="30"/>
        <v>0</v>
      </c>
      <c r="BI24" s="823">
        <f t="shared" si="30"/>
        <v>0</v>
      </c>
      <c r="BJ24" s="823">
        <f t="shared" si="30"/>
        <v>0</v>
      </c>
      <c r="BK24" s="823">
        <f t="shared" si="30"/>
        <v>0</v>
      </c>
      <c r="BL24" s="823">
        <f t="shared" si="30"/>
        <v>0</v>
      </c>
      <c r="BM24" s="823">
        <f t="shared" si="30"/>
        <v>0</v>
      </c>
      <c r="BN24" s="823">
        <f t="shared" ref="BN24:ED24" si="31">SUM(BN25:BN27)</f>
        <v>0</v>
      </c>
      <c r="BO24" s="823">
        <f t="shared" si="31"/>
        <v>0</v>
      </c>
      <c r="BP24" s="823">
        <f t="shared" si="31"/>
        <v>0</v>
      </c>
      <c r="BQ24" s="823">
        <f t="shared" si="31"/>
        <v>0</v>
      </c>
      <c r="BR24" s="823">
        <f t="shared" si="31"/>
        <v>0</v>
      </c>
      <c r="BS24" s="823">
        <f t="shared" si="31"/>
        <v>0</v>
      </c>
      <c r="BT24" s="823">
        <f t="shared" si="31"/>
        <v>0</v>
      </c>
      <c r="BU24" s="823">
        <f t="shared" si="31"/>
        <v>0</v>
      </c>
      <c r="BV24" s="823">
        <f t="shared" si="31"/>
        <v>0</v>
      </c>
      <c r="BW24" s="823">
        <f t="shared" si="31"/>
        <v>0</v>
      </c>
      <c r="BX24" s="823">
        <f t="shared" si="31"/>
        <v>0</v>
      </c>
      <c r="BY24" s="823">
        <f t="shared" si="31"/>
        <v>0</v>
      </c>
      <c r="BZ24" s="823">
        <f t="shared" si="31"/>
        <v>0</v>
      </c>
      <c r="CA24" s="823">
        <f t="shared" si="31"/>
        <v>0</v>
      </c>
      <c r="CB24" s="823">
        <f t="shared" si="31"/>
        <v>0</v>
      </c>
      <c r="CC24" s="823">
        <f t="shared" si="31"/>
        <v>0</v>
      </c>
      <c r="CD24" s="823">
        <f t="shared" si="31"/>
        <v>0</v>
      </c>
      <c r="CE24" s="823">
        <f t="shared" si="31"/>
        <v>0</v>
      </c>
      <c r="CF24" s="823">
        <f t="shared" si="31"/>
        <v>0</v>
      </c>
      <c r="CG24" s="823">
        <f t="shared" si="31"/>
        <v>0</v>
      </c>
      <c r="CH24" s="823">
        <f t="shared" si="31"/>
        <v>0</v>
      </c>
      <c r="CI24" s="823">
        <f t="shared" si="31"/>
        <v>0</v>
      </c>
      <c r="CJ24" s="823">
        <f t="shared" si="31"/>
        <v>0</v>
      </c>
      <c r="CK24" s="823">
        <f t="shared" si="31"/>
        <v>0</v>
      </c>
      <c r="CL24" s="823">
        <f t="shared" si="31"/>
        <v>0</v>
      </c>
      <c r="CM24" s="823">
        <f>SUM(CM25:CM27)</f>
        <v>3839007321</v>
      </c>
      <c r="CN24" s="823">
        <f t="shared" si="31"/>
        <v>3295863199</v>
      </c>
      <c r="CO24" s="823">
        <f t="shared" si="31"/>
        <v>3189137210</v>
      </c>
      <c r="CP24" s="823">
        <f t="shared" si="31"/>
        <v>3188897210</v>
      </c>
      <c r="CQ24" s="823">
        <f t="shared" si="31"/>
        <v>0</v>
      </c>
      <c r="CR24" s="823">
        <f t="shared" si="31"/>
        <v>0</v>
      </c>
      <c r="CS24" s="823">
        <f t="shared" si="31"/>
        <v>0</v>
      </c>
      <c r="CT24" s="823">
        <f t="shared" si="31"/>
        <v>0</v>
      </c>
      <c r="CU24" s="823">
        <f t="shared" si="31"/>
        <v>0</v>
      </c>
      <c r="CV24" s="823">
        <f t="shared" si="31"/>
        <v>0</v>
      </c>
      <c r="CW24" s="823">
        <f t="shared" si="31"/>
        <v>0</v>
      </c>
      <c r="CX24" s="823">
        <f t="shared" si="31"/>
        <v>0</v>
      </c>
      <c r="CY24" s="823">
        <f t="shared" si="31"/>
        <v>0</v>
      </c>
      <c r="CZ24" s="823">
        <f t="shared" si="31"/>
        <v>0</v>
      </c>
      <c r="DA24" s="823">
        <f t="shared" si="31"/>
        <v>0</v>
      </c>
      <c r="DB24" s="823">
        <f t="shared" si="31"/>
        <v>0</v>
      </c>
      <c r="DC24" s="823">
        <f t="shared" si="31"/>
        <v>0</v>
      </c>
      <c r="DD24" s="823">
        <f t="shared" si="31"/>
        <v>0</v>
      </c>
      <c r="DE24" s="823">
        <f t="shared" si="31"/>
        <v>0</v>
      </c>
      <c r="DF24" s="823">
        <f t="shared" si="31"/>
        <v>0</v>
      </c>
      <c r="DG24" s="823">
        <f t="shared" si="31"/>
        <v>0</v>
      </c>
      <c r="DH24" s="823">
        <f t="shared" si="31"/>
        <v>0</v>
      </c>
      <c r="DI24" s="823">
        <f t="shared" si="31"/>
        <v>0</v>
      </c>
      <c r="DJ24" s="823">
        <f t="shared" si="31"/>
        <v>0</v>
      </c>
      <c r="DK24" s="823">
        <f t="shared" si="31"/>
        <v>500000</v>
      </c>
      <c r="DL24" s="823">
        <f t="shared" si="31"/>
        <v>0</v>
      </c>
      <c r="DM24" s="823">
        <f t="shared" si="31"/>
        <v>0</v>
      </c>
      <c r="DN24" s="823">
        <f t="shared" si="31"/>
        <v>0</v>
      </c>
      <c r="DO24" s="823">
        <f t="shared" si="31"/>
        <v>0</v>
      </c>
      <c r="DP24" s="823">
        <f t="shared" si="31"/>
        <v>0</v>
      </c>
      <c r="DQ24" s="823">
        <f t="shared" si="31"/>
        <v>0</v>
      </c>
      <c r="DR24" s="823">
        <f t="shared" si="31"/>
        <v>0</v>
      </c>
      <c r="DS24" s="823">
        <f t="shared" si="31"/>
        <v>0</v>
      </c>
      <c r="DT24" s="823">
        <f t="shared" si="31"/>
        <v>0</v>
      </c>
      <c r="DU24" s="823">
        <f t="shared" si="31"/>
        <v>0</v>
      </c>
      <c r="DV24" s="823">
        <f t="shared" si="31"/>
        <v>0</v>
      </c>
      <c r="DW24" s="823">
        <f t="shared" si="31"/>
        <v>0</v>
      </c>
      <c r="DX24" s="823">
        <f t="shared" si="31"/>
        <v>0</v>
      </c>
      <c r="DY24" s="823">
        <f t="shared" si="31"/>
        <v>0</v>
      </c>
      <c r="DZ24" s="823">
        <f t="shared" si="31"/>
        <v>0</v>
      </c>
      <c r="EA24" s="823">
        <f t="shared" si="31"/>
        <v>6394599</v>
      </c>
      <c r="EB24" s="823">
        <f t="shared" si="31"/>
        <v>0</v>
      </c>
      <c r="EC24" s="823">
        <f t="shared" si="31"/>
        <v>0</v>
      </c>
      <c r="ED24" s="823">
        <f t="shared" si="31"/>
        <v>0</v>
      </c>
      <c r="EE24" s="810">
        <f>+C24+G24+K24+O24+S24+W24+AA24+AE24+AI24+AM24+AQ24+AU24+AY24+BC24+BG24+BK24+BO24+BS24+BW24+CA24+CE24+CI24+CM24+CQ24+CU24+CY24+DC24+DG24+DK24+DO24+EA24+DS24+DW24</f>
        <v>4566522000</v>
      </c>
      <c r="EF24" s="810">
        <f>+D24+H24+L24+P24+T24+X24+AB24+AF24+AJ24+AN24+AR24+AV24+AZ24+BD24+BH24+BL24+BP24+BT24+BX24+CB24+CF24+CJ24+CN24+CR24+CV24+CZ24+DD24+DH24+DL24+DP24+EB24+DT24+DX24</f>
        <v>3539063199</v>
      </c>
      <c r="EG24" s="810">
        <f>+E24+I24+M24+Q24+U24+Y24+AC24+AG24+AK24+AO24+AS24+AW24+BA24+BE24+BI24+BM24+BQ24+BU24+BY24+CC24+CG24+CK24+CO24+CS24+CW24+DA24+DE24+DI24+DM24+DQ24+EC24+DU24+DY24</f>
        <v>3432337210</v>
      </c>
      <c r="EH24" s="810">
        <f>+F24+J24+N24+R24+V24+Z24+AD24+AH24+AL24+AP24+AT24+AX24+BB24+BF24+BJ24+BN24+BR24+BV24+BZ24+CD24+CH24+CL24+CP24+CT24+CX24+DB24+DF24+DJ24+DN24+DR24+ED24+DV24+DZ24</f>
        <v>3432097210</v>
      </c>
      <c r="EI24" s="824">
        <f t="shared" si="4"/>
        <v>0</v>
      </c>
      <c r="EK24" s="813"/>
    </row>
    <row r="25" spans="1:141" ht="16.5" thickTop="1" thickBot="1" x14ac:dyDescent="0.3">
      <c r="A25" s="825" t="s">
        <v>2567</v>
      </c>
      <c r="B25" s="826">
        <f>+'Anexo 5.2. informe Gastos'!I82</f>
        <v>3946522000</v>
      </c>
      <c r="C25" s="851">
        <v>626849694</v>
      </c>
      <c r="D25" s="851">
        <v>243200000</v>
      </c>
      <c r="E25" s="851">
        <v>243200000</v>
      </c>
      <c r="F25" s="851">
        <v>243200000</v>
      </c>
      <c r="G25" s="851">
        <f>11338560+45073069</f>
        <v>56411629</v>
      </c>
      <c r="H25" s="837">
        <v>0</v>
      </c>
      <c r="I25" s="837">
        <v>0</v>
      </c>
      <c r="J25" s="837">
        <v>0</v>
      </c>
      <c r="K25" s="851">
        <v>36008757</v>
      </c>
      <c r="L25" s="837">
        <v>0</v>
      </c>
      <c r="M25" s="837">
        <v>0</v>
      </c>
      <c r="N25" s="837">
        <v>0</v>
      </c>
      <c r="O25" s="899">
        <v>1350000</v>
      </c>
      <c r="P25" s="842"/>
      <c r="Q25" s="837"/>
      <c r="R25" s="842"/>
      <c r="S25" s="843"/>
      <c r="T25" s="843"/>
      <c r="U25" s="837"/>
      <c r="V25" s="837"/>
      <c r="W25" s="837"/>
      <c r="X25" s="831"/>
      <c r="Y25" s="837"/>
      <c r="Z25" s="837"/>
      <c r="AA25" s="837"/>
      <c r="AB25" s="837"/>
      <c r="AC25" s="837"/>
      <c r="AD25" s="837"/>
      <c r="AE25" s="837"/>
      <c r="AF25" s="837"/>
      <c r="AG25" s="837"/>
      <c r="AH25" s="837"/>
      <c r="AI25" s="837"/>
      <c r="AJ25" s="837"/>
      <c r="AK25" s="837"/>
      <c r="AL25" s="837"/>
      <c r="AM25" s="837"/>
      <c r="AN25" s="837"/>
      <c r="AO25" s="837"/>
      <c r="AP25" s="837"/>
      <c r="AQ25" s="837"/>
      <c r="AR25" s="837"/>
      <c r="AS25" s="837"/>
      <c r="AT25" s="837"/>
      <c r="AU25" s="837"/>
      <c r="AV25" s="837"/>
      <c r="AW25" s="837"/>
      <c r="AX25" s="837"/>
      <c r="AY25" s="837"/>
      <c r="AZ25" s="837"/>
      <c r="BA25" s="837"/>
      <c r="BB25" s="837"/>
      <c r="BC25" s="837"/>
      <c r="BD25" s="837"/>
      <c r="BE25" s="837"/>
      <c r="BF25" s="837"/>
      <c r="BG25" s="837"/>
      <c r="BH25" s="837"/>
      <c r="BI25" s="837"/>
      <c r="BJ25" s="837"/>
      <c r="BK25" s="837"/>
      <c r="BL25" s="837"/>
      <c r="BM25" s="837"/>
      <c r="BN25" s="837"/>
      <c r="BO25" s="837"/>
      <c r="BP25" s="837"/>
      <c r="BQ25" s="837"/>
      <c r="BR25" s="837"/>
      <c r="BS25" s="837"/>
      <c r="BT25" s="837"/>
      <c r="BU25" s="837"/>
      <c r="BV25" s="837"/>
      <c r="BW25" s="837"/>
      <c r="BX25" s="837"/>
      <c r="BY25" s="837"/>
      <c r="BZ25" s="837"/>
      <c r="CA25" s="837"/>
      <c r="CB25" s="837"/>
      <c r="CC25" s="837"/>
      <c r="CD25" s="837"/>
      <c r="CE25" s="837"/>
      <c r="CF25" s="837"/>
      <c r="CG25" s="837"/>
      <c r="CH25" s="837"/>
      <c r="CI25" s="837"/>
      <c r="CJ25" s="837"/>
      <c r="CK25" s="837"/>
      <c r="CL25" s="837"/>
      <c r="CM25" s="834">
        <v>3219007321</v>
      </c>
      <c r="CN25" s="829">
        <v>2714000000</v>
      </c>
      <c r="CO25" s="829">
        <v>2645000000</v>
      </c>
      <c r="CP25" s="829">
        <v>2645000000</v>
      </c>
      <c r="CQ25" s="834"/>
      <c r="CR25" s="829"/>
      <c r="CS25" s="829"/>
      <c r="CT25" s="829"/>
      <c r="CU25" s="834"/>
      <c r="CV25" s="829"/>
      <c r="CW25" s="829"/>
      <c r="CX25" s="829"/>
      <c r="CY25" s="834"/>
      <c r="CZ25" s="829"/>
      <c r="DA25" s="829"/>
      <c r="DB25" s="829"/>
      <c r="DC25" s="834"/>
      <c r="DD25" s="829"/>
      <c r="DE25" s="829"/>
      <c r="DF25" s="829"/>
      <c r="DG25" s="834"/>
      <c r="DH25" s="829"/>
      <c r="DI25" s="829"/>
      <c r="DJ25" s="829"/>
      <c r="DK25" s="834">
        <v>500000</v>
      </c>
      <c r="DL25" s="829"/>
      <c r="DM25" s="829"/>
      <c r="DN25" s="829"/>
      <c r="DO25" s="834"/>
      <c r="DP25" s="829"/>
      <c r="DQ25" s="829"/>
      <c r="DR25" s="829"/>
      <c r="DS25" s="834"/>
      <c r="DT25" s="829"/>
      <c r="DU25" s="829"/>
      <c r="DV25" s="829"/>
      <c r="DW25" s="834"/>
      <c r="DX25" s="829"/>
      <c r="DY25" s="829"/>
      <c r="DZ25" s="829"/>
      <c r="EA25" s="899">
        <v>6394599</v>
      </c>
      <c r="EB25" s="843"/>
      <c r="EC25" s="837"/>
      <c r="ED25" s="837"/>
      <c r="EE25" s="832">
        <f t="shared" ref="EE25:EH29" si="32">+C25+G25+K25+O25+S25+W25+AA25+AE25+AI25+AM25+AQ25+AU25+AY25+BC25+BG25+BK25+BO25+BS25+BW25+CA25+CE25+CI25+CM25+CQ25+CU25+CY25+DC25+DG25+DK25+DO25+EA25+DS25+DW25</f>
        <v>3946522000</v>
      </c>
      <c r="EF25" s="832">
        <f t="shared" si="32"/>
        <v>2957200000</v>
      </c>
      <c r="EG25" s="832">
        <f t="shared" si="32"/>
        <v>2888200000</v>
      </c>
      <c r="EH25" s="832">
        <f t="shared" si="32"/>
        <v>2888200000</v>
      </c>
      <c r="EI25" s="725">
        <f t="shared" si="4"/>
        <v>0</v>
      </c>
      <c r="EJ25" s="838"/>
      <c r="EK25" s="813"/>
    </row>
    <row r="26" spans="1:141" ht="16.5" thickTop="1" thickBot="1" x14ac:dyDescent="0.3">
      <c r="A26" s="825" t="s">
        <v>1528</v>
      </c>
      <c r="B26" s="826">
        <f>+'Anexo 5.2. informe Gastos'!I83</f>
        <v>180000000</v>
      </c>
      <c r="C26" s="837"/>
      <c r="D26" s="837"/>
      <c r="E26" s="837"/>
      <c r="F26" s="837"/>
      <c r="G26" s="827"/>
      <c r="H26" s="827"/>
      <c r="I26" s="827"/>
      <c r="J26" s="827"/>
      <c r="K26" s="827"/>
      <c r="L26" s="827"/>
      <c r="M26" s="827"/>
      <c r="N26" s="827"/>
      <c r="O26" s="828"/>
      <c r="P26" s="828"/>
      <c r="Q26" s="827"/>
      <c r="R26" s="828"/>
      <c r="S26" s="828"/>
      <c r="T26" s="828"/>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7"/>
      <c r="BJ26" s="827"/>
      <c r="BK26" s="827"/>
      <c r="BL26" s="827"/>
      <c r="BM26" s="827"/>
      <c r="BN26" s="827"/>
      <c r="BO26" s="827"/>
      <c r="BP26" s="827"/>
      <c r="BQ26" s="827"/>
      <c r="BR26" s="827"/>
      <c r="BS26" s="827"/>
      <c r="BT26" s="827"/>
      <c r="BU26" s="827"/>
      <c r="BV26" s="827"/>
      <c r="BW26" s="827"/>
      <c r="BX26" s="827"/>
      <c r="BY26" s="827"/>
      <c r="BZ26" s="827"/>
      <c r="CA26" s="827"/>
      <c r="CB26" s="827"/>
      <c r="CC26" s="827"/>
      <c r="CD26" s="827"/>
      <c r="CE26" s="827"/>
      <c r="CF26" s="827"/>
      <c r="CG26" s="827"/>
      <c r="CH26" s="827"/>
      <c r="CI26" s="827"/>
      <c r="CJ26" s="827"/>
      <c r="CK26" s="827"/>
      <c r="CL26" s="827"/>
      <c r="CM26" s="834">
        <v>180000000</v>
      </c>
      <c r="CN26" s="829">
        <v>144609959</v>
      </c>
      <c r="CO26" s="829">
        <v>144609959</v>
      </c>
      <c r="CP26" s="829">
        <v>144369959</v>
      </c>
      <c r="CQ26" s="829"/>
      <c r="CR26" s="829"/>
      <c r="CS26" s="829"/>
      <c r="CT26" s="829"/>
      <c r="CU26" s="829"/>
      <c r="CV26" s="829"/>
      <c r="CW26" s="829"/>
      <c r="CX26" s="829"/>
      <c r="CY26" s="829"/>
      <c r="CZ26" s="829"/>
      <c r="DA26" s="829"/>
      <c r="DB26" s="829"/>
      <c r="DC26" s="829"/>
      <c r="DD26" s="829"/>
      <c r="DE26" s="829"/>
      <c r="DF26" s="829"/>
      <c r="DG26" s="829"/>
      <c r="DH26" s="829"/>
      <c r="DI26" s="829"/>
      <c r="DJ26" s="829"/>
      <c r="DK26" s="829"/>
      <c r="DL26" s="829"/>
      <c r="DM26" s="829"/>
      <c r="DN26" s="829"/>
      <c r="DO26" s="829"/>
      <c r="DP26" s="829"/>
      <c r="DQ26" s="829"/>
      <c r="DR26" s="829"/>
      <c r="DS26" s="829"/>
      <c r="DT26" s="829"/>
      <c r="DU26" s="829"/>
      <c r="DV26" s="829"/>
      <c r="DW26" s="829"/>
      <c r="DX26" s="829"/>
      <c r="DY26" s="829"/>
      <c r="DZ26" s="829"/>
      <c r="EA26" s="828"/>
      <c r="EB26" s="828"/>
      <c r="EC26" s="827"/>
      <c r="ED26" s="827"/>
      <c r="EE26" s="832">
        <f t="shared" si="32"/>
        <v>180000000</v>
      </c>
      <c r="EF26" s="832">
        <f t="shared" si="32"/>
        <v>144609959</v>
      </c>
      <c r="EG26" s="832">
        <f t="shared" si="32"/>
        <v>144609959</v>
      </c>
      <c r="EH26" s="832">
        <f t="shared" si="32"/>
        <v>144369959</v>
      </c>
      <c r="EI26" s="725">
        <f t="shared" si="4"/>
        <v>0</v>
      </c>
      <c r="EJ26" s="838"/>
      <c r="EK26" s="813"/>
    </row>
    <row r="27" spans="1:141" ht="27" thickTop="1" thickBot="1" x14ac:dyDescent="0.3">
      <c r="A27" s="825" t="s">
        <v>1532</v>
      </c>
      <c r="B27" s="826">
        <f>+'Anexo 5.2. informe Gastos'!I84</f>
        <v>440000000</v>
      </c>
      <c r="C27" s="837"/>
      <c r="D27" s="831"/>
      <c r="E27" s="831"/>
      <c r="F27" s="831"/>
      <c r="G27" s="827"/>
      <c r="H27" s="827"/>
      <c r="I27" s="827"/>
      <c r="J27" s="827"/>
      <c r="K27" s="827"/>
      <c r="L27" s="827"/>
      <c r="M27" s="827"/>
      <c r="N27" s="827"/>
      <c r="O27" s="828"/>
      <c r="P27" s="828"/>
      <c r="Q27" s="827"/>
      <c r="R27" s="828"/>
      <c r="S27" s="828"/>
      <c r="T27" s="828"/>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27"/>
      <c r="BC27" s="827"/>
      <c r="BD27" s="827"/>
      <c r="BE27" s="827"/>
      <c r="BF27" s="827"/>
      <c r="BG27" s="827"/>
      <c r="BH27" s="827"/>
      <c r="BI27" s="827"/>
      <c r="BJ27" s="827"/>
      <c r="BK27" s="827"/>
      <c r="BL27" s="827"/>
      <c r="BM27" s="827"/>
      <c r="BN27" s="827"/>
      <c r="BO27" s="827"/>
      <c r="BP27" s="827"/>
      <c r="BQ27" s="827"/>
      <c r="BR27" s="827"/>
      <c r="BS27" s="827"/>
      <c r="BT27" s="827"/>
      <c r="BU27" s="827"/>
      <c r="BV27" s="827"/>
      <c r="BW27" s="827"/>
      <c r="BX27" s="827"/>
      <c r="BY27" s="827"/>
      <c r="BZ27" s="827"/>
      <c r="CA27" s="827"/>
      <c r="CB27" s="827"/>
      <c r="CC27" s="827"/>
      <c r="CD27" s="827"/>
      <c r="CE27" s="827"/>
      <c r="CF27" s="827"/>
      <c r="CG27" s="827"/>
      <c r="CH27" s="827"/>
      <c r="CI27" s="827"/>
      <c r="CJ27" s="827"/>
      <c r="CK27" s="827"/>
      <c r="CL27" s="827"/>
      <c r="CM27" s="834">
        <v>440000000</v>
      </c>
      <c r="CN27" s="829">
        <f>377259889+59993351</f>
        <v>437253240</v>
      </c>
      <c r="CO27" s="830">
        <f>339533900+59993351</f>
        <v>399527251</v>
      </c>
      <c r="CP27" s="830">
        <f>339533900+59993351</f>
        <v>399527251</v>
      </c>
      <c r="CQ27" s="829"/>
      <c r="CR27" s="829"/>
      <c r="CS27" s="831"/>
      <c r="CT27" s="831"/>
      <c r="CU27" s="829"/>
      <c r="CV27" s="829"/>
      <c r="CW27" s="831"/>
      <c r="CX27" s="831"/>
      <c r="CY27" s="829"/>
      <c r="CZ27" s="829"/>
      <c r="DA27" s="831"/>
      <c r="DB27" s="831"/>
      <c r="DC27" s="829"/>
      <c r="DD27" s="829"/>
      <c r="DE27" s="831"/>
      <c r="DF27" s="831"/>
      <c r="DG27" s="829"/>
      <c r="DH27" s="829"/>
      <c r="DI27" s="831"/>
      <c r="DJ27" s="831"/>
      <c r="DK27" s="829"/>
      <c r="DL27" s="829"/>
      <c r="DM27" s="831"/>
      <c r="DN27" s="831"/>
      <c r="DO27" s="829"/>
      <c r="DP27" s="829"/>
      <c r="DQ27" s="831"/>
      <c r="DR27" s="831"/>
      <c r="DS27" s="829"/>
      <c r="DT27" s="829"/>
      <c r="DU27" s="831"/>
      <c r="DV27" s="831"/>
      <c r="DW27" s="829"/>
      <c r="DX27" s="829"/>
      <c r="DY27" s="831"/>
      <c r="DZ27" s="831"/>
      <c r="EA27" s="828"/>
      <c r="EB27" s="828"/>
      <c r="EC27" s="827"/>
      <c r="ED27" s="827"/>
      <c r="EE27" s="832">
        <f t="shared" si="32"/>
        <v>440000000</v>
      </c>
      <c r="EF27" s="832">
        <f t="shared" si="32"/>
        <v>437253240</v>
      </c>
      <c r="EG27" s="832">
        <f t="shared" si="32"/>
        <v>399527251</v>
      </c>
      <c r="EH27" s="832">
        <f t="shared" si="32"/>
        <v>399527251</v>
      </c>
      <c r="EI27" s="725">
        <f t="shared" si="4"/>
        <v>0</v>
      </c>
      <c r="EJ27" s="838"/>
      <c r="EK27" s="813"/>
    </row>
    <row r="28" spans="1:141" ht="16.5" thickTop="1" thickBot="1" x14ac:dyDescent="0.3">
      <c r="A28" s="822" t="s">
        <v>1533</v>
      </c>
      <c r="B28" s="823">
        <f t="shared" ref="B28:BM28" si="33">SUM(B29:B29)</f>
        <v>100000000</v>
      </c>
      <c r="C28" s="823">
        <f t="shared" si="33"/>
        <v>0</v>
      </c>
      <c r="D28" s="823">
        <f t="shared" si="33"/>
        <v>0</v>
      </c>
      <c r="E28" s="823">
        <f t="shared" si="33"/>
        <v>0</v>
      </c>
      <c r="F28" s="823">
        <f t="shared" si="33"/>
        <v>0</v>
      </c>
      <c r="G28" s="823">
        <f t="shared" si="33"/>
        <v>0</v>
      </c>
      <c r="H28" s="823">
        <f t="shared" si="33"/>
        <v>0</v>
      </c>
      <c r="I28" s="823">
        <f t="shared" si="33"/>
        <v>0</v>
      </c>
      <c r="J28" s="823">
        <f t="shared" si="33"/>
        <v>0</v>
      </c>
      <c r="K28" s="823">
        <f t="shared" si="33"/>
        <v>0</v>
      </c>
      <c r="L28" s="823">
        <f t="shared" si="33"/>
        <v>0</v>
      </c>
      <c r="M28" s="823">
        <f t="shared" si="33"/>
        <v>0</v>
      </c>
      <c r="N28" s="823">
        <f t="shared" si="33"/>
        <v>0</v>
      </c>
      <c r="O28" s="823">
        <f t="shared" si="33"/>
        <v>0</v>
      </c>
      <c r="P28" s="823">
        <f t="shared" si="33"/>
        <v>0</v>
      </c>
      <c r="Q28" s="823">
        <f t="shared" si="33"/>
        <v>0</v>
      </c>
      <c r="R28" s="823">
        <f t="shared" si="33"/>
        <v>0</v>
      </c>
      <c r="S28" s="823">
        <f t="shared" si="33"/>
        <v>0</v>
      </c>
      <c r="T28" s="823">
        <f t="shared" si="33"/>
        <v>0</v>
      </c>
      <c r="U28" s="823">
        <f t="shared" si="33"/>
        <v>0</v>
      </c>
      <c r="V28" s="823">
        <f t="shared" si="33"/>
        <v>0</v>
      </c>
      <c r="W28" s="823">
        <f t="shared" si="33"/>
        <v>0</v>
      </c>
      <c r="X28" s="823">
        <f t="shared" si="33"/>
        <v>0</v>
      </c>
      <c r="Y28" s="823">
        <f t="shared" si="33"/>
        <v>0</v>
      </c>
      <c r="Z28" s="823">
        <f t="shared" si="33"/>
        <v>0</v>
      </c>
      <c r="AA28" s="823">
        <f t="shared" si="33"/>
        <v>0</v>
      </c>
      <c r="AB28" s="823">
        <f t="shared" si="33"/>
        <v>0</v>
      </c>
      <c r="AC28" s="823">
        <f t="shared" si="33"/>
        <v>0</v>
      </c>
      <c r="AD28" s="823">
        <f t="shared" si="33"/>
        <v>0</v>
      </c>
      <c r="AE28" s="823">
        <f t="shared" si="33"/>
        <v>0</v>
      </c>
      <c r="AF28" s="823">
        <f t="shared" si="33"/>
        <v>0</v>
      </c>
      <c r="AG28" s="823">
        <f t="shared" si="33"/>
        <v>0</v>
      </c>
      <c r="AH28" s="823">
        <f t="shared" si="33"/>
        <v>0</v>
      </c>
      <c r="AI28" s="823">
        <f t="shared" si="33"/>
        <v>0</v>
      </c>
      <c r="AJ28" s="823">
        <f t="shared" si="33"/>
        <v>0</v>
      </c>
      <c r="AK28" s="823">
        <f t="shared" si="33"/>
        <v>0</v>
      </c>
      <c r="AL28" s="823">
        <f t="shared" si="33"/>
        <v>0</v>
      </c>
      <c r="AM28" s="823">
        <f t="shared" si="33"/>
        <v>0</v>
      </c>
      <c r="AN28" s="823">
        <f t="shared" si="33"/>
        <v>0</v>
      </c>
      <c r="AO28" s="823">
        <f t="shared" si="33"/>
        <v>0</v>
      </c>
      <c r="AP28" s="823">
        <f t="shared" si="33"/>
        <v>0</v>
      </c>
      <c r="AQ28" s="823">
        <f t="shared" si="33"/>
        <v>0</v>
      </c>
      <c r="AR28" s="823">
        <f t="shared" si="33"/>
        <v>0</v>
      </c>
      <c r="AS28" s="823">
        <f t="shared" si="33"/>
        <v>0</v>
      </c>
      <c r="AT28" s="823">
        <f t="shared" si="33"/>
        <v>0</v>
      </c>
      <c r="AU28" s="823">
        <f t="shared" si="33"/>
        <v>0</v>
      </c>
      <c r="AV28" s="823">
        <f t="shared" si="33"/>
        <v>0</v>
      </c>
      <c r="AW28" s="823">
        <f t="shared" si="33"/>
        <v>0</v>
      </c>
      <c r="AX28" s="823">
        <f t="shared" si="33"/>
        <v>0</v>
      </c>
      <c r="AY28" s="823">
        <f t="shared" si="33"/>
        <v>0</v>
      </c>
      <c r="AZ28" s="823">
        <f t="shared" si="33"/>
        <v>0</v>
      </c>
      <c r="BA28" s="823">
        <f t="shared" si="33"/>
        <v>0</v>
      </c>
      <c r="BB28" s="823">
        <f t="shared" si="33"/>
        <v>0</v>
      </c>
      <c r="BC28" s="823">
        <f t="shared" si="33"/>
        <v>0</v>
      </c>
      <c r="BD28" s="823">
        <f t="shared" si="33"/>
        <v>0</v>
      </c>
      <c r="BE28" s="823">
        <f t="shared" si="33"/>
        <v>0</v>
      </c>
      <c r="BF28" s="823">
        <f t="shared" si="33"/>
        <v>0</v>
      </c>
      <c r="BG28" s="823">
        <f t="shared" si="33"/>
        <v>0</v>
      </c>
      <c r="BH28" s="823">
        <f t="shared" si="33"/>
        <v>0</v>
      </c>
      <c r="BI28" s="823">
        <f t="shared" si="33"/>
        <v>0</v>
      </c>
      <c r="BJ28" s="823">
        <f t="shared" si="33"/>
        <v>0</v>
      </c>
      <c r="BK28" s="823">
        <f t="shared" si="33"/>
        <v>0</v>
      </c>
      <c r="BL28" s="823">
        <f t="shared" si="33"/>
        <v>0</v>
      </c>
      <c r="BM28" s="823">
        <f t="shared" si="33"/>
        <v>0</v>
      </c>
      <c r="BN28" s="823">
        <f t="shared" ref="BN28:ED28" si="34">SUM(BN29:BN29)</f>
        <v>0</v>
      </c>
      <c r="BO28" s="823">
        <f t="shared" si="34"/>
        <v>0</v>
      </c>
      <c r="BP28" s="823">
        <f t="shared" si="34"/>
        <v>0</v>
      </c>
      <c r="BQ28" s="823">
        <f t="shared" si="34"/>
        <v>0</v>
      </c>
      <c r="BR28" s="823">
        <f t="shared" si="34"/>
        <v>0</v>
      </c>
      <c r="BS28" s="823">
        <f t="shared" si="34"/>
        <v>0</v>
      </c>
      <c r="BT28" s="823">
        <f t="shared" si="34"/>
        <v>0</v>
      </c>
      <c r="BU28" s="823">
        <f t="shared" si="34"/>
        <v>0</v>
      </c>
      <c r="BV28" s="823">
        <f t="shared" si="34"/>
        <v>0</v>
      </c>
      <c r="BW28" s="823">
        <f t="shared" si="34"/>
        <v>0</v>
      </c>
      <c r="BX28" s="823">
        <f t="shared" si="34"/>
        <v>0</v>
      </c>
      <c r="BY28" s="823">
        <f t="shared" si="34"/>
        <v>0</v>
      </c>
      <c r="BZ28" s="823">
        <f t="shared" si="34"/>
        <v>0</v>
      </c>
      <c r="CA28" s="823">
        <f t="shared" si="34"/>
        <v>0</v>
      </c>
      <c r="CB28" s="823">
        <f t="shared" si="34"/>
        <v>0</v>
      </c>
      <c r="CC28" s="823">
        <f t="shared" si="34"/>
        <v>0</v>
      </c>
      <c r="CD28" s="823">
        <f t="shared" si="34"/>
        <v>0</v>
      </c>
      <c r="CE28" s="823">
        <f t="shared" si="34"/>
        <v>0</v>
      </c>
      <c r="CF28" s="823">
        <f t="shared" si="34"/>
        <v>0</v>
      </c>
      <c r="CG28" s="823">
        <f t="shared" si="34"/>
        <v>0</v>
      </c>
      <c r="CH28" s="823">
        <f t="shared" si="34"/>
        <v>0</v>
      </c>
      <c r="CI28" s="823">
        <f t="shared" si="34"/>
        <v>0</v>
      </c>
      <c r="CJ28" s="823">
        <f t="shared" si="34"/>
        <v>0</v>
      </c>
      <c r="CK28" s="823">
        <f t="shared" si="34"/>
        <v>0</v>
      </c>
      <c r="CL28" s="823">
        <f t="shared" si="34"/>
        <v>0</v>
      </c>
      <c r="CM28" s="823">
        <f t="shared" si="34"/>
        <v>20000000</v>
      </c>
      <c r="CN28" s="823">
        <f t="shared" si="34"/>
        <v>20000000</v>
      </c>
      <c r="CO28" s="823">
        <f t="shared" si="34"/>
        <v>0</v>
      </c>
      <c r="CP28" s="823">
        <f t="shared" si="34"/>
        <v>0</v>
      </c>
      <c r="CQ28" s="823">
        <f t="shared" si="34"/>
        <v>0</v>
      </c>
      <c r="CR28" s="823">
        <f t="shared" si="34"/>
        <v>0</v>
      </c>
      <c r="CS28" s="823">
        <f t="shared" si="34"/>
        <v>0</v>
      </c>
      <c r="CT28" s="823">
        <f t="shared" si="34"/>
        <v>0</v>
      </c>
      <c r="CU28" s="823">
        <f t="shared" si="34"/>
        <v>0</v>
      </c>
      <c r="CV28" s="823">
        <f t="shared" si="34"/>
        <v>0</v>
      </c>
      <c r="CW28" s="823">
        <f t="shared" si="34"/>
        <v>0</v>
      </c>
      <c r="CX28" s="823">
        <f t="shared" si="34"/>
        <v>0</v>
      </c>
      <c r="CY28" s="823">
        <f t="shared" si="34"/>
        <v>10000000</v>
      </c>
      <c r="CZ28" s="823">
        <f t="shared" si="34"/>
        <v>10000000</v>
      </c>
      <c r="DA28" s="823">
        <f t="shared" si="34"/>
        <v>0</v>
      </c>
      <c r="DB28" s="823">
        <f t="shared" si="34"/>
        <v>0</v>
      </c>
      <c r="DC28" s="823">
        <f t="shared" si="34"/>
        <v>70000000</v>
      </c>
      <c r="DD28" s="823">
        <f t="shared" si="34"/>
        <v>70000000</v>
      </c>
      <c r="DE28" s="823">
        <f t="shared" si="34"/>
        <v>0</v>
      </c>
      <c r="DF28" s="823">
        <f t="shared" si="34"/>
        <v>0</v>
      </c>
      <c r="DG28" s="823">
        <f t="shared" si="34"/>
        <v>0</v>
      </c>
      <c r="DH28" s="823">
        <f t="shared" si="34"/>
        <v>0</v>
      </c>
      <c r="DI28" s="823">
        <f t="shared" si="34"/>
        <v>0</v>
      </c>
      <c r="DJ28" s="823">
        <f t="shared" si="34"/>
        <v>0</v>
      </c>
      <c r="DK28" s="823">
        <f t="shared" si="34"/>
        <v>0</v>
      </c>
      <c r="DL28" s="823">
        <f t="shared" si="34"/>
        <v>0</v>
      </c>
      <c r="DM28" s="823">
        <f t="shared" si="34"/>
        <v>0</v>
      </c>
      <c r="DN28" s="823">
        <f t="shared" si="34"/>
        <v>0</v>
      </c>
      <c r="DO28" s="823">
        <f t="shared" si="34"/>
        <v>0</v>
      </c>
      <c r="DP28" s="823">
        <f t="shared" si="34"/>
        <v>0</v>
      </c>
      <c r="DQ28" s="823">
        <f t="shared" si="34"/>
        <v>0</v>
      </c>
      <c r="DR28" s="823">
        <f t="shared" si="34"/>
        <v>0</v>
      </c>
      <c r="DS28" s="823">
        <f t="shared" si="34"/>
        <v>0</v>
      </c>
      <c r="DT28" s="823">
        <f t="shared" si="34"/>
        <v>0</v>
      </c>
      <c r="DU28" s="823">
        <f t="shared" si="34"/>
        <v>0</v>
      </c>
      <c r="DV28" s="823">
        <f t="shared" si="34"/>
        <v>0</v>
      </c>
      <c r="DW28" s="823">
        <f t="shared" si="34"/>
        <v>0</v>
      </c>
      <c r="DX28" s="823">
        <f t="shared" si="34"/>
        <v>0</v>
      </c>
      <c r="DY28" s="823">
        <f t="shared" si="34"/>
        <v>0</v>
      </c>
      <c r="DZ28" s="823">
        <f t="shared" si="34"/>
        <v>0</v>
      </c>
      <c r="EA28" s="823">
        <f t="shared" si="34"/>
        <v>0</v>
      </c>
      <c r="EB28" s="823">
        <f t="shared" si="34"/>
        <v>0</v>
      </c>
      <c r="EC28" s="823">
        <f t="shared" si="34"/>
        <v>0</v>
      </c>
      <c r="ED28" s="823">
        <f t="shared" si="34"/>
        <v>0</v>
      </c>
      <c r="EE28" s="810">
        <f>+C28+G28+K28+O28+S28+W28+AA28+AE28+AI28+AM28+AQ28+AU28+AY28+BC28+BG28+BK28+BO28+BS28+BW28+CA28+CE28+CI28+CM28+CQ28+CU28+CY28+DC28+DG28+DK28+DO28+EA28+DS28+DW28</f>
        <v>100000000</v>
      </c>
      <c r="EF28" s="810">
        <f>+D28+H28+L28+P28+T28+X28+AB28+AF28+AJ28+AN28+AR28+AV28+AZ28+BD28+BH28+BL28+BP28+BT28+BX28+CB28+CF28+CJ28+CN28+CR28+CV28+CZ28+DD28+DH28+DL28+DP28+EB28+DT28+DX28</f>
        <v>100000000</v>
      </c>
      <c r="EG28" s="810">
        <f>+E28+I28+M28+Q28+U28+Y28+AC28+AG28+AK28+AO28+AS28+AW28+BA28+BE28+BI28+BM28+BQ28+BU28+BY28+CC28+CG28+CK28+CO28+CS28+CW28+DA28+DE28+DI28+DM28+DQ28+EC28+DU28+DY28</f>
        <v>0</v>
      </c>
      <c r="EH28" s="810">
        <f>+F28+J28+N28+R28+V28+Z28+AD28+AH28+AL28+AP28+AT28+AX28+BB28+BF28+BJ28+BN28+BR28+BV28+BZ28+CD28+CH28+CL28+CP28+CT28+CX28+DB28+DF28+DJ28+DN28+DR28+ED28+DV28+DZ28</f>
        <v>0</v>
      </c>
      <c r="EI28" s="824">
        <f t="shared" si="4"/>
        <v>0</v>
      </c>
      <c r="EJ28" s="838"/>
      <c r="EK28" s="813"/>
    </row>
    <row r="29" spans="1:141" ht="20.25" customHeight="1" thickTop="1" thickBot="1" x14ac:dyDescent="0.3">
      <c r="A29" s="825" t="s">
        <v>1534</v>
      </c>
      <c r="B29" s="826">
        <f>+'Anexo 5.2. informe Gastos'!I88</f>
        <v>100000000</v>
      </c>
      <c r="C29" s="827"/>
      <c r="D29" s="827"/>
      <c r="E29" s="827"/>
      <c r="F29" s="827"/>
      <c r="G29" s="827"/>
      <c r="H29" s="827"/>
      <c r="I29" s="827"/>
      <c r="J29" s="827"/>
      <c r="K29" s="827"/>
      <c r="L29" s="827"/>
      <c r="M29" s="827"/>
      <c r="N29" s="827"/>
      <c r="O29" s="828"/>
      <c r="P29" s="828"/>
      <c r="Q29" s="827"/>
      <c r="R29" s="828"/>
      <c r="S29" s="828"/>
      <c r="T29" s="828"/>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37">
        <v>0</v>
      </c>
      <c r="BI29" s="837">
        <v>0</v>
      </c>
      <c r="BJ29" s="837">
        <v>0</v>
      </c>
      <c r="BK29" s="827"/>
      <c r="BL29" s="827"/>
      <c r="BM29" s="827"/>
      <c r="BN29" s="827"/>
      <c r="BO29" s="827"/>
      <c r="BP29" s="827"/>
      <c r="BQ29" s="827"/>
      <c r="BR29" s="827"/>
      <c r="BS29" s="827"/>
      <c r="BT29" s="827"/>
      <c r="BU29" s="827"/>
      <c r="BV29" s="827"/>
      <c r="BW29" s="827"/>
      <c r="BX29" s="827"/>
      <c r="BY29" s="827"/>
      <c r="BZ29" s="827"/>
      <c r="CA29" s="827"/>
      <c r="CB29" s="827"/>
      <c r="CC29" s="827"/>
      <c r="CD29" s="827"/>
      <c r="CE29" s="827"/>
      <c r="CF29" s="827"/>
      <c r="CG29" s="827"/>
      <c r="CH29" s="827"/>
      <c r="CI29" s="827"/>
      <c r="CJ29" s="827"/>
      <c r="CK29" s="827"/>
      <c r="CL29" s="827"/>
      <c r="CM29" s="834">
        <v>20000000</v>
      </c>
      <c r="CN29" s="834">
        <v>20000000</v>
      </c>
      <c r="CO29" s="837"/>
      <c r="CP29" s="837"/>
      <c r="CQ29" s="829"/>
      <c r="CR29" s="829"/>
      <c r="CS29" s="837"/>
      <c r="CT29" s="837"/>
      <c r="CU29" s="829"/>
      <c r="CV29" s="837"/>
      <c r="CW29" s="837"/>
      <c r="CX29" s="837"/>
      <c r="CY29" s="834">
        <v>10000000</v>
      </c>
      <c r="CZ29" s="834">
        <v>10000000</v>
      </c>
      <c r="DA29" s="837"/>
      <c r="DB29" s="837"/>
      <c r="DC29" s="834">
        <v>70000000</v>
      </c>
      <c r="DD29" s="834">
        <v>70000000</v>
      </c>
      <c r="DE29" s="837"/>
      <c r="DF29" s="837"/>
      <c r="DG29" s="829"/>
      <c r="DH29" s="837"/>
      <c r="DI29" s="837"/>
      <c r="DJ29" s="837"/>
      <c r="DK29" s="829"/>
      <c r="DL29" s="837"/>
      <c r="DM29" s="837"/>
      <c r="DN29" s="837"/>
      <c r="DO29" s="829"/>
      <c r="DP29" s="837"/>
      <c r="DQ29" s="837"/>
      <c r="DR29" s="837"/>
      <c r="DS29" s="829"/>
      <c r="DT29" s="837"/>
      <c r="DU29" s="837"/>
      <c r="DV29" s="837"/>
      <c r="DW29" s="829"/>
      <c r="DX29" s="837"/>
      <c r="DY29" s="837"/>
      <c r="DZ29" s="837"/>
      <c r="EA29" s="828"/>
      <c r="EB29" s="828"/>
      <c r="EC29" s="827"/>
      <c r="ED29" s="827"/>
      <c r="EE29" s="832">
        <f t="shared" ref="EE29" si="35">+C29+G29+K29+O29+S29+W29+AA29+AE29+AI29+AM29+AQ29+AU29+AY29+BC29+BG29+BK29+BO29+BS29+BW29+CA29+CE29+CI29+CM29+CQ29+CU29+CY29+DC29+DG29+DK29+DO29+EA29+DS29+DW29</f>
        <v>100000000</v>
      </c>
      <c r="EF29" s="832">
        <f t="shared" si="32"/>
        <v>100000000</v>
      </c>
      <c r="EG29" s="832">
        <f t="shared" si="32"/>
        <v>0</v>
      </c>
      <c r="EH29" s="832">
        <f t="shared" si="32"/>
        <v>0</v>
      </c>
      <c r="EI29" s="725">
        <f t="shared" si="4"/>
        <v>0</v>
      </c>
      <c r="EJ29" s="838"/>
      <c r="EK29" s="813"/>
    </row>
    <row r="30" spans="1:141" ht="16.5" thickTop="1" thickBot="1" x14ac:dyDescent="0.3">
      <c r="A30" s="822" t="s">
        <v>1536</v>
      </c>
      <c r="B30" s="823">
        <f t="shared" ref="B30:BM30" si="36">SUM(B31:B32)</f>
        <v>1285498071</v>
      </c>
      <c r="C30" s="823">
        <f t="shared" si="36"/>
        <v>0</v>
      </c>
      <c r="D30" s="823">
        <f t="shared" si="36"/>
        <v>0</v>
      </c>
      <c r="E30" s="823">
        <f t="shared" si="36"/>
        <v>0</v>
      </c>
      <c r="F30" s="823">
        <f t="shared" si="36"/>
        <v>0</v>
      </c>
      <c r="G30" s="823">
        <f t="shared" si="36"/>
        <v>0</v>
      </c>
      <c r="H30" s="823">
        <f t="shared" si="36"/>
        <v>0</v>
      </c>
      <c r="I30" s="823">
        <f t="shared" si="36"/>
        <v>0</v>
      </c>
      <c r="J30" s="823">
        <f t="shared" si="36"/>
        <v>0</v>
      </c>
      <c r="K30" s="823">
        <f t="shared" si="36"/>
        <v>0</v>
      </c>
      <c r="L30" s="823">
        <f t="shared" si="36"/>
        <v>0</v>
      </c>
      <c r="M30" s="823">
        <f t="shared" si="36"/>
        <v>0</v>
      </c>
      <c r="N30" s="823">
        <f t="shared" si="36"/>
        <v>0</v>
      </c>
      <c r="O30" s="823">
        <f t="shared" si="36"/>
        <v>0</v>
      </c>
      <c r="P30" s="823">
        <f t="shared" si="36"/>
        <v>0</v>
      </c>
      <c r="Q30" s="823">
        <f t="shared" si="36"/>
        <v>0</v>
      </c>
      <c r="R30" s="823">
        <f t="shared" si="36"/>
        <v>0</v>
      </c>
      <c r="S30" s="823">
        <f t="shared" si="36"/>
        <v>0</v>
      </c>
      <c r="T30" s="823">
        <f t="shared" si="36"/>
        <v>0</v>
      </c>
      <c r="U30" s="823">
        <f t="shared" si="36"/>
        <v>0</v>
      </c>
      <c r="V30" s="823">
        <f t="shared" si="36"/>
        <v>0</v>
      </c>
      <c r="W30" s="823">
        <f t="shared" si="36"/>
        <v>0</v>
      </c>
      <c r="X30" s="823">
        <f t="shared" si="36"/>
        <v>0</v>
      </c>
      <c r="Y30" s="823">
        <f t="shared" si="36"/>
        <v>0</v>
      </c>
      <c r="Z30" s="823">
        <f t="shared" si="36"/>
        <v>0</v>
      </c>
      <c r="AA30" s="823">
        <f t="shared" si="36"/>
        <v>595498071</v>
      </c>
      <c r="AB30" s="823">
        <f t="shared" si="36"/>
        <v>488316167</v>
      </c>
      <c r="AC30" s="823">
        <f t="shared" si="36"/>
        <v>240276858</v>
      </c>
      <c r="AD30" s="823">
        <f t="shared" si="36"/>
        <v>240276858</v>
      </c>
      <c r="AE30" s="823">
        <f t="shared" si="36"/>
        <v>0</v>
      </c>
      <c r="AF30" s="823">
        <f t="shared" si="36"/>
        <v>0</v>
      </c>
      <c r="AG30" s="823">
        <f t="shared" si="36"/>
        <v>0</v>
      </c>
      <c r="AH30" s="823">
        <f t="shared" si="36"/>
        <v>0</v>
      </c>
      <c r="AI30" s="823">
        <f t="shared" si="36"/>
        <v>0</v>
      </c>
      <c r="AJ30" s="823">
        <f t="shared" si="36"/>
        <v>0</v>
      </c>
      <c r="AK30" s="823">
        <f t="shared" si="36"/>
        <v>0</v>
      </c>
      <c r="AL30" s="823">
        <f t="shared" si="36"/>
        <v>0</v>
      </c>
      <c r="AM30" s="823">
        <f t="shared" si="36"/>
        <v>0</v>
      </c>
      <c r="AN30" s="823">
        <f t="shared" si="36"/>
        <v>0</v>
      </c>
      <c r="AO30" s="823">
        <f t="shared" si="36"/>
        <v>0</v>
      </c>
      <c r="AP30" s="823">
        <f t="shared" si="36"/>
        <v>0</v>
      </c>
      <c r="AQ30" s="823">
        <f t="shared" si="36"/>
        <v>0</v>
      </c>
      <c r="AR30" s="823">
        <f t="shared" si="36"/>
        <v>0</v>
      </c>
      <c r="AS30" s="823">
        <f t="shared" si="36"/>
        <v>0</v>
      </c>
      <c r="AT30" s="823">
        <f t="shared" si="36"/>
        <v>0</v>
      </c>
      <c r="AU30" s="823">
        <f t="shared" si="36"/>
        <v>0</v>
      </c>
      <c r="AV30" s="823">
        <f t="shared" si="36"/>
        <v>0</v>
      </c>
      <c r="AW30" s="823">
        <f t="shared" si="36"/>
        <v>0</v>
      </c>
      <c r="AX30" s="823">
        <f t="shared" si="36"/>
        <v>0</v>
      </c>
      <c r="AY30" s="823">
        <f t="shared" si="36"/>
        <v>0</v>
      </c>
      <c r="AZ30" s="823">
        <f t="shared" si="36"/>
        <v>0</v>
      </c>
      <c r="BA30" s="823">
        <f t="shared" si="36"/>
        <v>0</v>
      </c>
      <c r="BB30" s="823">
        <f t="shared" si="36"/>
        <v>0</v>
      </c>
      <c r="BC30" s="823">
        <f t="shared" si="36"/>
        <v>0</v>
      </c>
      <c r="BD30" s="823">
        <f t="shared" si="36"/>
        <v>0</v>
      </c>
      <c r="BE30" s="823">
        <f t="shared" si="36"/>
        <v>0</v>
      </c>
      <c r="BF30" s="823">
        <f t="shared" si="36"/>
        <v>0</v>
      </c>
      <c r="BG30" s="823">
        <f t="shared" si="36"/>
        <v>0</v>
      </c>
      <c r="BH30" s="823">
        <f t="shared" si="36"/>
        <v>0</v>
      </c>
      <c r="BI30" s="823">
        <f t="shared" si="36"/>
        <v>0</v>
      </c>
      <c r="BJ30" s="823">
        <f t="shared" si="36"/>
        <v>0</v>
      </c>
      <c r="BK30" s="823">
        <f t="shared" si="36"/>
        <v>0</v>
      </c>
      <c r="BL30" s="823">
        <f t="shared" si="36"/>
        <v>0</v>
      </c>
      <c r="BM30" s="823">
        <f t="shared" si="36"/>
        <v>0</v>
      </c>
      <c r="BN30" s="823">
        <f t="shared" ref="BN30:ED30" si="37">SUM(BN31:BN32)</f>
        <v>0</v>
      </c>
      <c r="BO30" s="823">
        <f t="shared" si="37"/>
        <v>0</v>
      </c>
      <c r="BP30" s="823">
        <f t="shared" si="37"/>
        <v>0</v>
      </c>
      <c r="BQ30" s="823">
        <f t="shared" si="37"/>
        <v>0</v>
      </c>
      <c r="BR30" s="823">
        <f t="shared" si="37"/>
        <v>0</v>
      </c>
      <c r="BS30" s="823">
        <f t="shared" si="37"/>
        <v>0</v>
      </c>
      <c r="BT30" s="823">
        <f t="shared" si="37"/>
        <v>0</v>
      </c>
      <c r="BU30" s="823">
        <f t="shared" si="37"/>
        <v>0</v>
      </c>
      <c r="BV30" s="823">
        <f t="shared" si="37"/>
        <v>0</v>
      </c>
      <c r="BW30" s="823">
        <f t="shared" si="37"/>
        <v>0</v>
      </c>
      <c r="BX30" s="823">
        <f t="shared" si="37"/>
        <v>0</v>
      </c>
      <c r="BY30" s="823">
        <f t="shared" si="37"/>
        <v>0</v>
      </c>
      <c r="BZ30" s="823">
        <f t="shared" si="37"/>
        <v>0</v>
      </c>
      <c r="CA30" s="823">
        <f t="shared" si="37"/>
        <v>0</v>
      </c>
      <c r="CB30" s="823">
        <f t="shared" si="37"/>
        <v>0</v>
      </c>
      <c r="CC30" s="823">
        <f t="shared" si="37"/>
        <v>0</v>
      </c>
      <c r="CD30" s="823">
        <f t="shared" si="37"/>
        <v>0</v>
      </c>
      <c r="CE30" s="823">
        <f t="shared" si="37"/>
        <v>0</v>
      </c>
      <c r="CF30" s="823">
        <f t="shared" si="37"/>
        <v>0</v>
      </c>
      <c r="CG30" s="823">
        <f t="shared" si="37"/>
        <v>0</v>
      </c>
      <c r="CH30" s="823">
        <f t="shared" si="37"/>
        <v>0</v>
      </c>
      <c r="CI30" s="823">
        <f t="shared" si="37"/>
        <v>0</v>
      </c>
      <c r="CJ30" s="823">
        <f t="shared" si="37"/>
        <v>0</v>
      </c>
      <c r="CK30" s="823">
        <f t="shared" si="37"/>
        <v>0</v>
      </c>
      <c r="CL30" s="823">
        <f t="shared" si="37"/>
        <v>0</v>
      </c>
      <c r="CM30" s="823">
        <f t="shared" si="37"/>
        <v>0</v>
      </c>
      <c r="CN30" s="823">
        <f t="shared" si="37"/>
        <v>0</v>
      </c>
      <c r="CO30" s="823">
        <f t="shared" si="37"/>
        <v>0</v>
      </c>
      <c r="CP30" s="823">
        <f t="shared" si="37"/>
        <v>0</v>
      </c>
      <c r="CQ30" s="823">
        <f t="shared" si="37"/>
        <v>670000000</v>
      </c>
      <c r="CR30" s="823">
        <f t="shared" si="37"/>
        <v>574079470</v>
      </c>
      <c r="CS30" s="823">
        <f t="shared" si="37"/>
        <v>574079470</v>
      </c>
      <c r="CT30" s="823">
        <f t="shared" si="37"/>
        <v>574079470</v>
      </c>
      <c r="CU30" s="823">
        <f t="shared" si="37"/>
        <v>0</v>
      </c>
      <c r="CV30" s="823">
        <f t="shared" si="37"/>
        <v>0</v>
      </c>
      <c r="CW30" s="823">
        <f t="shared" si="37"/>
        <v>0</v>
      </c>
      <c r="CX30" s="823">
        <f t="shared" si="37"/>
        <v>0</v>
      </c>
      <c r="CY30" s="823">
        <f t="shared" si="37"/>
        <v>0</v>
      </c>
      <c r="CZ30" s="823">
        <f t="shared" si="37"/>
        <v>0</v>
      </c>
      <c r="DA30" s="823">
        <f t="shared" si="37"/>
        <v>0</v>
      </c>
      <c r="DB30" s="823">
        <f t="shared" si="37"/>
        <v>0</v>
      </c>
      <c r="DC30" s="823">
        <f t="shared" si="37"/>
        <v>20000000</v>
      </c>
      <c r="DD30" s="823">
        <f t="shared" si="37"/>
        <v>12822518</v>
      </c>
      <c r="DE30" s="823">
        <f t="shared" si="37"/>
        <v>12822518</v>
      </c>
      <c r="DF30" s="823">
        <f t="shared" si="37"/>
        <v>12582518</v>
      </c>
      <c r="DG30" s="823">
        <f t="shared" si="37"/>
        <v>0</v>
      </c>
      <c r="DH30" s="823">
        <f t="shared" si="37"/>
        <v>0</v>
      </c>
      <c r="DI30" s="823">
        <f t="shared" si="37"/>
        <v>0</v>
      </c>
      <c r="DJ30" s="823">
        <f t="shared" si="37"/>
        <v>0</v>
      </c>
      <c r="DK30" s="823">
        <f t="shared" si="37"/>
        <v>0</v>
      </c>
      <c r="DL30" s="823">
        <f t="shared" si="37"/>
        <v>0</v>
      </c>
      <c r="DM30" s="823">
        <f t="shared" si="37"/>
        <v>0</v>
      </c>
      <c r="DN30" s="823">
        <f t="shared" si="37"/>
        <v>0</v>
      </c>
      <c r="DO30" s="823">
        <f t="shared" si="37"/>
        <v>0</v>
      </c>
      <c r="DP30" s="823">
        <f t="shared" si="37"/>
        <v>0</v>
      </c>
      <c r="DQ30" s="823">
        <f t="shared" si="37"/>
        <v>0</v>
      </c>
      <c r="DR30" s="823">
        <f t="shared" si="37"/>
        <v>0</v>
      </c>
      <c r="DS30" s="823">
        <f t="shared" si="37"/>
        <v>0</v>
      </c>
      <c r="DT30" s="823">
        <f t="shared" si="37"/>
        <v>0</v>
      </c>
      <c r="DU30" s="823">
        <f t="shared" si="37"/>
        <v>0</v>
      </c>
      <c r="DV30" s="823">
        <f t="shared" si="37"/>
        <v>0</v>
      </c>
      <c r="DW30" s="823">
        <f t="shared" si="37"/>
        <v>0</v>
      </c>
      <c r="DX30" s="823">
        <f t="shared" si="37"/>
        <v>0</v>
      </c>
      <c r="DY30" s="823">
        <f t="shared" si="37"/>
        <v>0</v>
      </c>
      <c r="DZ30" s="823">
        <f t="shared" si="37"/>
        <v>0</v>
      </c>
      <c r="EA30" s="823">
        <f t="shared" si="37"/>
        <v>0</v>
      </c>
      <c r="EB30" s="823">
        <f t="shared" si="37"/>
        <v>0</v>
      </c>
      <c r="EC30" s="823">
        <f t="shared" si="37"/>
        <v>0</v>
      </c>
      <c r="ED30" s="823">
        <f t="shared" si="37"/>
        <v>0</v>
      </c>
      <c r="EE30" s="810">
        <f>+C30+G30+K30+O30+S30+W30+AA30+AE30+AI30+AM30+AQ30+AU30+AY30+BC30+BG30+BK30+BO30+BS30+BW30+CA30+CE30+CI30+CM30+CQ30+CU30+CY30+DC30+DG30+DK30+DO30+EA30+DS30+DW30</f>
        <v>1285498071</v>
      </c>
      <c r="EF30" s="810">
        <f>+D30+H30+L30+P30+T30+X30+AB30+AF30+AJ30+AN30+AR30+AV30+AZ30+BD30+BH30+BL30+BP30+BT30+BX30+CB30+CF30+CJ30+CN30+CR30+CV30+CZ30+DD30+DH30+DL30+DP30+EB30+DT30+DX30</f>
        <v>1075218155</v>
      </c>
      <c r="EG30" s="810">
        <f>+E30+I30+M30+Q30+U30+Y30+AC30+AG30+AK30+AO30+AS30+AW30+BA30+BE30+BI30+BM30+BQ30+BU30+BY30+CC30+CG30+CK30+CO30+CS30+CW30+DA30+DE30+DI30+DM30+DQ30+EC30+DU30+DY30</f>
        <v>827178846</v>
      </c>
      <c r="EH30" s="810">
        <f>+F30+J30+N30+R30+V30+Z30+AD30+AH30+AL30+AP30+AT30+AX30+BB30+BF30+BJ30+BN30+BR30+BV30+BZ30+CD30+CH30+CL30+CP30+CT30+CX30+DB30+DF30+DJ30+DN30+DR30+ED30+DV30+DZ30</f>
        <v>826938846</v>
      </c>
      <c r="EI30" s="824">
        <f t="shared" si="4"/>
        <v>0</v>
      </c>
      <c r="EK30" s="813"/>
    </row>
    <row r="31" spans="1:141" ht="16.5" thickTop="1" thickBot="1" x14ac:dyDescent="0.3">
      <c r="A31" s="825" t="s">
        <v>1537</v>
      </c>
      <c r="B31" s="826">
        <f>+'Anexo 5.2. informe Gastos'!I92</f>
        <v>1265498071</v>
      </c>
      <c r="C31" s="827"/>
      <c r="D31" s="827"/>
      <c r="E31" s="827"/>
      <c r="F31" s="827"/>
      <c r="G31" s="827"/>
      <c r="H31" s="827"/>
      <c r="I31" s="827"/>
      <c r="J31" s="827"/>
      <c r="K31" s="827"/>
      <c r="L31" s="827"/>
      <c r="M31" s="827"/>
      <c r="N31" s="827"/>
      <c r="O31" s="828"/>
      <c r="P31" s="828"/>
      <c r="Q31" s="827"/>
      <c r="R31" s="828"/>
      <c r="S31" s="828"/>
      <c r="T31" s="828"/>
      <c r="U31" s="827"/>
      <c r="V31" s="827"/>
      <c r="W31" s="827"/>
      <c r="X31" s="827"/>
      <c r="Y31" s="827"/>
      <c r="Z31" s="827"/>
      <c r="AA31" s="899">
        <v>595498071</v>
      </c>
      <c r="AB31" s="843">
        <v>488316167</v>
      </c>
      <c r="AC31" s="843">
        <v>240276858</v>
      </c>
      <c r="AD31" s="843">
        <v>240276858</v>
      </c>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7"/>
      <c r="BI31" s="827"/>
      <c r="BJ31" s="827"/>
      <c r="BK31" s="827"/>
      <c r="BL31" s="827"/>
      <c r="BM31" s="827"/>
      <c r="BN31" s="827"/>
      <c r="BO31" s="827"/>
      <c r="BP31" s="827"/>
      <c r="BQ31" s="827"/>
      <c r="BR31" s="827"/>
      <c r="BS31" s="827"/>
      <c r="BT31" s="827"/>
      <c r="BU31" s="827"/>
      <c r="BV31" s="827"/>
      <c r="BW31" s="827"/>
      <c r="BX31" s="827"/>
      <c r="BY31" s="827"/>
      <c r="BZ31" s="827"/>
      <c r="CA31" s="827"/>
      <c r="CB31" s="827"/>
      <c r="CC31" s="827"/>
      <c r="CD31" s="827"/>
      <c r="CE31" s="827"/>
      <c r="CF31" s="827"/>
      <c r="CG31" s="827"/>
      <c r="CH31" s="827"/>
      <c r="CI31" s="827"/>
      <c r="CJ31" s="827"/>
      <c r="CK31" s="827"/>
      <c r="CL31" s="827"/>
      <c r="CM31" s="836"/>
      <c r="CN31" s="836"/>
      <c r="CO31" s="831"/>
      <c r="CP31" s="831"/>
      <c r="CQ31" s="898">
        <v>670000000</v>
      </c>
      <c r="CR31" s="831">
        <v>574079470</v>
      </c>
      <c r="CS31" s="831">
        <v>574079470</v>
      </c>
      <c r="CT31" s="831">
        <v>574079470</v>
      </c>
      <c r="CU31" s="836"/>
      <c r="CV31" s="836"/>
      <c r="CW31" s="831"/>
      <c r="CX31" s="831"/>
      <c r="CY31" s="836"/>
      <c r="CZ31" s="836"/>
      <c r="DA31" s="831"/>
      <c r="DB31" s="831"/>
      <c r="DC31" s="836"/>
      <c r="DD31" s="836"/>
      <c r="DE31" s="831"/>
      <c r="DF31" s="831"/>
      <c r="DG31" s="836"/>
      <c r="DH31" s="836"/>
      <c r="DI31" s="831"/>
      <c r="DJ31" s="831"/>
      <c r="DK31" s="836"/>
      <c r="DL31" s="836"/>
      <c r="DM31" s="831"/>
      <c r="DN31" s="831"/>
      <c r="DO31" s="836"/>
      <c r="DP31" s="836"/>
      <c r="DQ31" s="831"/>
      <c r="DR31" s="831"/>
      <c r="DS31" s="836"/>
      <c r="DT31" s="836"/>
      <c r="DU31" s="831"/>
      <c r="DV31" s="831"/>
      <c r="DW31" s="836"/>
      <c r="DX31" s="836"/>
      <c r="DY31" s="831"/>
      <c r="DZ31" s="831"/>
      <c r="EA31" s="828"/>
      <c r="EB31" s="828"/>
      <c r="EC31" s="827"/>
      <c r="ED31" s="827"/>
      <c r="EE31" s="832">
        <f t="shared" ref="EE31:EH35" si="38">+C31+G31+K31+O31+S31+W31+AA31+AE31+AI31+AM31+AQ31+AU31+AY31+BC31+BG31+BK31+BO31+BS31+BW31+CA31+CE31+CI31+CM31+CQ31+CU31+CY31+DC31+DG31+DK31+DO31+EA31+DS31+DW31</f>
        <v>1265498071</v>
      </c>
      <c r="EF31" s="832">
        <f t="shared" si="38"/>
        <v>1062395637</v>
      </c>
      <c r="EG31" s="832">
        <f t="shared" si="38"/>
        <v>814356328</v>
      </c>
      <c r="EH31" s="832">
        <f t="shared" si="38"/>
        <v>814356328</v>
      </c>
      <c r="EI31" s="725">
        <f t="shared" si="4"/>
        <v>0</v>
      </c>
      <c r="EK31" s="813"/>
    </row>
    <row r="32" spans="1:141" ht="27" thickTop="1" thickBot="1" x14ac:dyDescent="0.3">
      <c r="A32" s="825" t="s">
        <v>1538</v>
      </c>
      <c r="B32" s="826">
        <f>+'Anexo 5.2. informe Gastos'!I93</f>
        <v>20000000</v>
      </c>
      <c r="C32" s="827"/>
      <c r="D32" s="827"/>
      <c r="E32" s="827"/>
      <c r="F32" s="827"/>
      <c r="G32" s="827"/>
      <c r="H32" s="827"/>
      <c r="I32" s="827"/>
      <c r="J32" s="827"/>
      <c r="K32" s="827"/>
      <c r="L32" s="827"/>
      <c r="M32" s="827"/>
      <c r="N32" s="827"/>
      <c r="O32" s="828"/>
      <c r="P32" s="828"/>
      <c r="Q32" s="827"/>
      <c r="R32" s="828"/>
      <c r="S32" s="828"/>
      <c r="T32" s="828"/>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7"/>
      <c r="BJ32" s="827"/>
      <c r="BK32" s="827"/>
      <c r="BL32" s="827"/>
      <c r="BM32" s="827"/>
      <c r="BN32" s="827"/>
      <c r="BO32" s="827"/>
      <c r="BP32" s="827"/>
      <c r="BQ32" s="827"/>
      <c r="BR32" s="827"/>
      <c r="BS32" s="827"/>
      <c r="BT32" s="827"/>
      <c r="BU32" s="827"/>
      <c r="BV32" s="827"/>
      <c r="BW32" s="827"/>
      <c r="BX32" s="827"/>
      <c r="BY32" s="827"/>
      <c r="BZ32" s="827"/>
      <c r="CA32" s="827"/>
      <c r="CB32" s="827"/>
      <c r="CC32" s="827"/>
      <c r="CD32" s="827"/>
      <c r="CE32" s="827"/>
      <c r="CF32" s="827"/>
      <c r="CG32" s="827"/>
      <c r="CH32" s="827"/>
      <c r="CI32" s="827"/>
      <c r="CJ32" s="827"/>
      <c r="CK32" s="827"/>
      <c r="CL32" s="827"/>
      <c r="CM32" s="829"/>
      <c r="CN32" s="831"/>
      <c r="CO32" s="831"/>
      <c r="CP32" s="831"/>
      <c r="CQ32" s="829"/>
      <c r="CR32" s="831"/>
      <c r="CS32" s="831"/>
      <c r="CT32" s="831"/>
      <c r="CU32" s="829"/>
      <c r="CV32" s="831"/>
      <c r="CW32" s="831"/>
      <c r="CX32" s="831"/>
      <c r="CY32" s="829"/>
      <c r="CZ32" s="831"/>
      <c r="DA32" s="831"/>
      <c r="DB32" s="831"/>
      <c r="DC32" s="834">
        <v>20000000</v>
      </c>
      <c r="DD32" s="829">
        <v>12822518</v>
      </c>
      <c r="DE32" s="829">
        <v>12822518</v>
      </c>
      <c r="DF32" s="831">
        <v>12582518</v>
      </c>
      <c r="DG32" s="829"/>
      <c r="DH32" s="831"/>
      <c r="DI32" s="831"/>
      <c r="DJ32" s="831"/>
      <c r="DK32" s="829"/>
      <c r="DL32" s="831"/>
      <c r="DM32" s="831"/>
      <c r="DN32" s="831"/>
      <c r="DO32" s="829"/>
      <c r="DP32" s="831"/>
      <c r="DQ32" s="831"/>
      <c r="DR32" s="831"/>
      <c r="DS32" s="829"/>
      <c r="DT32" s="831"/>
      <c r="DU32" s="831"/>
      <c r="DV32" s="831"/>
      <c r="DW32" s="829"/>
      <c r="DX32" s="831"/>
      <c r="DY32" s="831"/>
      <c r="DZ32" s="831"/>
      <c r="EA32" s="828"/>
      <c r="EB32" s="828"/>
      <c r="EC32" s="827"/>
      <c r="ED32" s="827"/>
      <c r="EE32" s="832">
        <f t="shared" si="38"/>
        <v>20000000</v>
      </c>
      <c r="EF32" s="832">
        <f t="shared" si="38"/>
        <v>12822518</v>
      </c>
      <c r="EG32" s="832">
        <f t="shared" si="38"/>
        <v>12822518</v>
      </c>
      <c r="EH32" s="832">
        <f t="shared" si="38"/>
        <v>12582518</v>
      </c>
      <c r="EI32" s="725">
        <f t="shared" si="4"/>
        <v>0</v>
      </c>
      <c r="EK32" s="813"/>
    </row>
    <row r="33" spans="1:141" ht="28.5" thickTop="1" thickBot="1" x14ac:dyDescent="0.3">
      <c r="A33" s="818" t="s">
        <v>1541</v>
      </c>
      <c r="B33" s="819">
        <f>+B34+B36+B38+B41+B43</f>
        <v>103734839261</v>
      </c>
      <c r="C33" s="819">
        <f t="shared" ref="C33:BN33" si="39">+C34+C36+C38+C41</f>
        <v>0</v>
      </c>
      <c r="D33" s="819">
        <f t="shared" si="39"/>
        <v>0</v>
      </c>
      <c r="E33" s="819">
        <f t="shared" si="39"/>
        <v>0</v>
      </c>
      <c r="F33" s="819">
        <f t="shared" si="39"/>
        <v>0</v>
      </c>
      <c r="G33" s="819">
        <f t="shared" si="39"/>
        <v>0</v>
      </c>
      <c r="H33" s="819">
        <f t="shared" si="39"/>
        <v>0</v>
      </c>
      <c r="I33" s="819">
        <f t="shared" si="39"/>
        <v>0</v>
      </c>
      <c r="J33" s="819">
        <f t="shared" si="39"/>
        <v>0</v>
      </c>
      <c r="K33" s="819">
        <f t="shared" si="39"/>
        <v>0</v>
      </c>
      <c r="L33" s="819">
        <f t="shared" si="39"/>
        <v>0</v>
      </c>
      <c r="M33" s="819">
        <f t="shared" si="39"/>
        <v>0</v>
      </c>
      <c r="N33" s="819">
        <f t="shared" si="39"/>
        <v>0</v>
      </c>
      <c r="O33" s="819">
        <f t="shared" si="39"/>
        <v>0</v>
      </c>
      <c r="P33" s="819">
        <f t="shared" si="39"/>
        <v>0</v>
      </c>
      <c r="Q33" s="819">
        <f t="shared" si="39"/>
        <v>0</v>
      </c>
      <c r="R33" s="819">
        <f t="shared" si="39"/>
        <v>0</v>
      </c>
      <c r="S33" s="819">
        <f t="shared" si="39"/>
        <v>0</v>
      </c>
      <c r="T33" s="819">
        <f t="shared" si="39"/>
        <v>0</v>
      </c>
      <c r="U33" s="819">
        <f t="shared" si="39"/>
        <v>0</v>
      </c>
      <c r="V33" s="819">
        <f t="shared" si="39"/>
        <v>0</v>
      </c>
      <c r="W33" s="819">
        <f t="shared" si="39"/>
        <v>0</v>
      </c>
      <c r="X33" s="819">
        <f t="shared" si="39"/>
        <v>0</v>
      </c>
      <c r="Y33" s="819">
        <f t="shared" si="39"/>
        <v>0</v>
      </c>
      <c r="Z33" s="819">
        <f t="shared" si="39"/>
        <v>0</v>
      </c>
      <c r="AA33" s="819">
        <f t="shared" si="39"/>
        <v>0</v>
      </c>
      <c r="AB33" s="819">
        <f t="shared" si="39"/>
        <v>0</v>
      </c>
      <c r="AC33" s="819">
        <f t="shared" si="39"/>
        <v>0</v>
      </c>
      <c r="AD33" s="819">
        <f t="shared" si="39"/>
        <v>0</v>
      </c>
      <c r="AE33" s="819">
        <f t="shared" si="39"/>
        <v>580109028</v>
      </c>
      <c r="AF33" s="819">
        <f t="shared" si="39"/>
        <v>0</v>
      </c>
      <c r="AG33" s="819">
        <f t="shared" si="39"/>
        <v>0</v>
      </c>
      <c r="AH33" s="819">
        <f t="shared" si="39"/>
        <v>0</v>
      </c>
      <c r="AI33" s="819">
        <f t="shared" si="39"/>
        <v>0</v>
      </c>
      <c r="AJ33" s="819">
        <f t="shared" si="39"/>
        <v>0</v>
      </c>
      <c r="AK33" s="819">
        <f t="shared" si="39"/>
        <v>0</v>
      </c>
      <c r="AL33" s="819">
        <f t="shared" si="39"/>
        <v>0</v>
      </c>
      <c r="AM33" s="819">
        <f t="shared" si="39"/>
        <v>571639809</v>
      </c>
      <c r="AN33" s="819">
        <f t="shared" si="39"/>
        <v>569704130</v>
      </c>
      <c r="AO33" s="819">
        <f t="shared" si="39"/>
        <v>569704130</v>
      </c>
      <c r="AP33" s="819">
        <f t="shared" si="39"/>
        <v>569704130</v>
      </c>
      <c r="AQ33" s="819">
        <f t="shared" si="39"/>
        <v>103350000</v>
      </c>
      <c r="AR33" s="819">
        <f t="shared" si="39"/>
        <v>103350000</v>
      </c>
      <c r="AS33" s="819">
        <f t="shared" si="39"/>
        <v>103350000</v>
      </c>
      <c r="AT33" s="819">
        <f t="shared" si="39"/>
        <v>103350000</v>
      </c>
      <c r="AU33" s="819">
        <f t="shared" si="39"/>
        <v>5626808</v>
      </c>
      <c r="AV33" s="819">
        <f t="shared" si="39"/>
        <v>0</v>
      </c>
      <c r="AW33" s="819">
        <f t="shared" si="39"/>
        <v>0</v>
      </c>
      <c r="AX33" s="819">
        <f t="shared" si="39"/>
        <v>0</v>
      </c>
      <c r="AY33" s="819">
        <f t="shared" si="39"/>
        <v>1062809</v>
      </c>
      <c r="AZ33" s="819">
        <f t="shared" si="39"/>
        <v>0</v>
      </c>
      <c r="BA33" s="819">
        <f t="shared" si="39"/>
        <v>0</v>
      </c>
      <c r="BB33" s="819">
        <f t="shared" si="39"/>
        <v>0</v>
      </c>
      <c r="BC33" s="819">
        <f t="shared" si="39"/>
        <v>79057608517</v>
      </c>
      <c r="BD33" s="819">
        <f t="shared" si="39"/>
        <v>78932170681</v>
      </c>
      <c r="BE33" s="819">
        <f t="shared" si="39"/>
        <v>65699767403</v>
      </c>
      <c r="BF33" s="819">
        <f t="shared" si="39"/>
        <v>65699767403</v>
      </c>
      <c r="BG33" s="819">
        <f t="shared" si="39"/>
        <v>13307107458</v>
      </c>
      <c r="BH33" s="819">
        <f t="shared" si="39"/>
        <v>13307107289</v>
      </c>
      <c r="BI33" s="819">
        <f t="shared" si="39"/>
        <v>13221086690</v>
      </c>
      <c r="BJ33" s="819">
        <f t="shared" si="39"/>
        <v>11285911279</v>
      </c>
      <c r="BK33" s="819">
        <f t="shared" si="39"/>
        <v>0</v>
      </c>
      <c r="BL33" s="819">
        <f t="shared" si="39"/>
        <v>0</v>
      </c>
      <c r="BM33" s="819">
        <f t="shared" si="39"/>
        <v>0</v>
      </c>
      <c r="BN33" s="819">
        <f t="shared" si="39"/>
        <v>0</v>
      </c>
      <c r="BO33" s="819">
        <f t="shared" ref="BO33:DN33" si="40">+BO34+BO36+BO38+BO41</f>
        <v>0</v>
      </c>
      <c r="BP33" s="819">
        <f t="shared" si="40"/>
        <v>0</v>
      </c>
      <c r="BQ33" s="819">
        <f t="shared" si="40"/>
        <v>0</v>
      </c>
      <c r="BR33" s="819">
        <f t="shared" si="40"/>
        <v>0</v>
      </c>
      <c r="BS33" s="819">
        <f t="shared" si="40"/>
        <v>0</v>
      </c>
      <c r="BT33" s="819">
        <f t="shared" si="40"/>
        <v>0</v>
      </c>
      <c r="BU33" s="819">
        <f t="shared" si="40"/>
        <v>0</v>
      </c>
      <c r="BV33" s="819">
        <f t="shared" si="40"/>
        <v>0</v>
      </c>
      <c r="BW33" s="819">
        <f t="shared" si="40"/>
        <v>0</v>
      </c>
      <c r="BX33" s="819">
        <f t="shared" si="40"/>
        <v>0</v>
      </c>
      <c r="BY33" s="819">
        <f t="shared" si="40"/>
        <v>0</v>
      </c>
      <c r="BZ33" s="819">
        <f t="shared" si="40"/>
        <v>0</v>
      </c>
      <c r="CA33" s="819">
        <f t="shared" si="40"/>
        <v>0</v>
      </c>
      <c r="CB33" s="819">
        <f t="shared" si="40"/>
        <v>0</v>
      </c>
      <c r="CC33" s="819">
        <f t="shared" si="40"/>
        <v>0</v>
      </c>
      <c r="CD33" s="819">
        <f t="shared" si="40"/>
        <v>0</v>
      </c>
      <c r="CE33" s="819">
        <f t="shared" si="40"/>
        <v>0</v>
      </c>
      <c r="CF33" s="819">
        <f t="shared" si="40"/>
        <v>0</v>
      </c>
      <c r="CG33" s="819">
        <f t="shared" si="40"/>
        <v>0</v>
      </c>
      <c r="CH33" s="819">
        <f t="shared" si="40"/>
        <v>0</v>
      </c>
      <c r="CI33" s="819">
        <f t="shared" si="40"/>
        <v>0</v>
      </c>
      <c r="CJ33" s="819">
        <f t="shared" si="40"/>
        <v>0</v>
      </c>
      <c r="CK33" s="819">
        <f t="shared" si="40"/>
        <v>0</v>
      </c>
      <c r="CL33" s="819">
        <f t="shared" si="40"/>
        <v>0</v>
      </c>
      <c r="CM33" s="819">
        <f t="shared" si="40"/>
        <v>157323818</v>
      </c>
      <c r="CN33" s="819">
        <f t="shared" si="40"/>
        <v>7323818</v>
      </c>
      <c r="CO33" s="819">
        <f t="shared" si="40"/>
        <v>7323818</v>
      </c>
      <c r="CP33" s="819">
        <f t="shared" si="40"/>
        <v>7323818</v>
      </c>
      <c r="CQ33" s="819">
        <f t="shared" si="40"/>
        <v>800000000</v>
      </c>
      <c r="CR33" s="819">
        <f t="shared" si="40"/>
        <v>738475995</v>
      </c>
      <c r="CS33" s="819">
        <f t="shared" si="40"/>
        <v>618582500</v>
      </c>
      <c r="CT33" s="819">
        <f t="shared" si="40"/>
        <v>618582500</v>
      </c>
      <c r="CU33" s="819">
        <f t="shared" si="40"/>
        <v>0</v>
      </c>
      <c r="CV33" s="819">
        <f t="shared" si="40"/>
        <v>0</v>
      </c>
      <c r="CW33" s="819">
        <f t="shared" si="40"/>
        <v>0</v>
      </c>
      <c r="CX33" s="819">
        <f t="shared" si="40"/>
        <v>0</v>
      </c>
      <c r="CY33" s="819">
        <f t="shared" si="40"/>
        <v>0</v>
      </c>
      <c r="CZ33" s="819">
        <f t="shared" si="40"/>
        <v>0</v>
      </c>
      <c r="DA33" s="819">
        <f t="shared" si="40"/>
        <v>0</v>
      </c>
      <c r="DB33" s="819">
        <f t="shared" si="40"/>
        <v>0</v>
      </c>
      <c r="DC33" s="819">
        <f t="shared" si="40"/>
        <v>0</v>
      </c>
      <c r="DD33" s="819">
        <f t="shared" si="40"/>
        <v>0</v>
      </c>
      <c r="DE33" s="819">
        <f t="shared" si="40"/>
        <v>0</v>
      </c>
      <c r="DF33" s="819">
        <f t="shared" si="40"/>
        <v>0</v>
      </c>
      <c r="DG33" s="819">
        <f t="shared" si="40"/>
        <v>0</v>
      </c>
      <c r="DH33" s="819">
        <f t="shared" si="40"/>
        <v>0</v>
      </c>
      <c r="DI33" s="819">
        <f t="shared" si="40"/>
        <v>0</v>
      </c>
      <c r="DJ33" s="819">
        <f t="shared" si="40"/>
        <v>0</v>
      </c>
      <c r="DK33" s="819">
        <f t="shared" si="40"/>
        <v>0</v>
      </c>
      <c r="DL33" s="819">
        <f t="shared" si="40"/>
        <v>0</v>
      </c>
      <c r="DM33" s="819">
        <f t="shared" si="40"/>
        <v>0</v>
      </c>
      <c r="DN33" s="819">
        <f t="shared" si="40"/>
        <v>0</v>
      </c>
      <c r="DO33" s="819">
        <f>+DO34+DO36+DO38+DO41+DO43</f>
        <v>9150218952</v>
      </c>
      <c r="DP33" s="819">
        <f>+DP34+DP36+DP38+DP41+DP43</f>
        <v>9140003204</v>
      </c>
      <c r="DQ33" s="819">
        <f>+DQ34+DQ36+DQ38+DQ41+DQ43</f>
        <v>82676182</v>
      </c>
      <c r="DR33" s="819">
        <f>+DR34+DR36+DR38+DR41+DR43</f>
        <v>82676182</v>
      </c>
      <c r="DS33" s="819">
        <f t="shared" ref="DS33:ED33" si="41">+DS34+DS36+DS38+DS41</f>
        <v>252000</v>
      </c>
      <c r="DT33" s="819">
        <f t="shared" si="41"/>
        <v>0</v>
      </c>
      <c r="DU33" s="819">
        <f t="shared" si="41"/>
        <v>0</v>
      </c>
      <c r="DV33" s="819">
        <f t="shared" si="41"/>
        <v>0</v>
      </c>
      <c r="DW33" s="819">
        <f t="shared" si="41"/>
        <v>540062</v>
      </c>
      <c r="DX33" s="819">
        <f t="shared" si="41"/>
        <v>0</v>
      </c>
      <c r="DY33" s="819">
        <f t="shared" si="41"/>
        <v>0</v>
      </c>
      <c r="DZ33" s="819">
        <f t="shared" si="41"/>
        <v>0</v>
      </c>
      <c r="EA33" s="819">
        <f t="shared" si="41"/>
        <v>0</v>
      </c>
      <c r="EB33" s="819">
        <f t="shared" si="41"/>
        <v>0</v>
      </c>
      <c r="EC33" s="819">
        <f t="shared" si="41"/>
        <v>0</v>
      </c>
      <c r="ED33" s="819">
        <f t="shared" si="41"/>
        <v>0</v>
      </c>
      <c r="EE33" s="820">
        <f t="shared" si="38"/>
        <v>103734839261</v>
      </c>
      <c r="EF33" s="820">
        <f t="shared" si="38"/>
        <v>102798135117</v>
      </c>
      <c r="EG33" s="820">
        <f t="shared" si="38"/>
        <v>80302490723</v>
      </c>
      <c r="EH33" s="820">
        <f t="shared" si="38"/>
        <v>78367315312</v>
      </c>
      <c r="EI33" s="821">
        <f t="shared" si="4"/>
        <v>0</v>
      </c>
      <c r="EK33" s="813"/>
    </row>
    <row r="34" spans="1:141" ht="22.5" customHeight="1" thickTop="1" thickBot="1" x14ac:dyDescent="0.3">
      <c r="A34" s="822" t="s">
        <v>1542</v>
      </c>
      <c r="B34" s="823">
        <f t="shared" ref="B34:BM34" si="42">SUM(B35:B35)</f>
        <v>1262580516</v>
      </c>
      <c r="C34" s="823">
        <f t="shared" si="42"/>
        <v>0</v>
      </c>
      <c r="D34" s="823">
        <f t="shared" si="42"/>
        <v>0</v>
      </c>
      <c r="E34" s="823">
        <f t="shared" si="42"/>
        <v>0</v>
      </c>
      <c r="F34" s="823">
        <f t="shared" si="42"/>
        <v>0</v>
      </c>
      <c r="G34" s="823">
        <f t="shared" si="42"/>
        <v>0</v>
      </c>
      <c r="H34" s="823">
        <f t="shared" si="42"/>
        <v>0</v>
      </c>
      <c r="I34" s="823">
        <f t="shared" si="42"/>
        <v>0</v>
      </c>
      <c r="J34" s="823">
        <f t="shared" si="42"/>
        <v>0</v>
      </c>
      <c r="K34" s="823">
        <f t="shared" si="42"/>
        <v>0</v>
      </c>
      <c r="L34" s="823">
        <f t="shared" si="42"/>
        <v>0</v>
      </c>
      <c r="M34" s="823">
        <f t="shared" si="42"/>
        <v>0</v>
      </c>
      <c r="N34" s="823">
        <f t="shared" si="42"/>
        <v>0</v>
      </c>
      <c r="O34" s="823">
        <f t="shared" si="42"/>
        <v>0</v>
      </c>
      <c r="P34" s="823">
        <f t="shared" si="42"/>
        <v>0</v>
      </c>
      <c r="Q34" s="823">
        <f t="shared" si="42"/>
        <v>0</v>
      </c>
      <c r="R34" s="823">
        <f t="shared" si="42"/>
        <v>0</v>
      </c>
      <c r="S34" s="823">
        <f t="shared" si="42"/>
        <v>0</v>
      </c>
      <c r="T34" s="823">
        <f t="shared" si="42"/>
        <v>0</v>
      </c>
      <c r="U34" s="823">
        <f t="shared" si="42"/>
        <v>0</v>
      </c>
      <c r="V34" s="823">
        <f t="shared" si="42"/>
        <v>0</v>
      </c>
      <c r="W34" s="823">
        <f t="shared" si="42"/>
        <v>0</v>
      </c>
      <c r="X34" s="823">
        <f t="shared" si="42"/>
        <v>0</v>
      </c>
      <c r="Y34" s="823">
        <f t="shared" si="42"/>
        <v>0</v>
      </c>
      <c r="Z34" s="823">
        <f t="shared" si="42"/>
        <v>0</v>
      </c>
      <c r="AA34" s="823">
        <f t="shared" si="42"/>
        <v>0</v>
      </c>
      <c r="AB34" s="823">
        <f t="shared" si="42"/>
        <v>0</v>
      </c>
      <c r="AC34" s="823">
        <f t="shared" si="42"/>
        <v>0</v>
      </c>
      <c r="AD34" s="823">
        <f t="shared" si="42"/>
        <v>0</v>
      </c>
      <c r="AE34" s="823">
        <f t="shared" si="42"/>
        <v>580109028</v>
      </c>
      <c r="AF34" s="823">
        <f t="shared" si="42"/>
        <v>0</v>
      </c>
      <c r="AG34" s="823">
        <f t="shared" si="42"/>
        <v>0</v>
      </c>
      <c r="AH34" s="823">
        <f t="shared" si="42"/>
        <v>0</v>
      </c>
      <c r="AI34" s="823">
        <f t="shared" si="42"/>
        <v>0</v>
      </c>
      <c r="AJ34" s="823">
        <f t="shared" si="42"/>
        <v>0</v>
      </c>
      <c r="AK34" s="823">
        <f t="shared" si="42"/>
        <v>0</v>
      </c>
      <c r="AL34" s="823">
        <f t="shared" si="42"/>
        <v>0</v>
      </c>
      <c r="AM34" s="823">
        <f t="shared" si="42"/>
        <v>571639809</v>
      </c>
      <c r="AN34" s="823">
        <f t="shared" si="42"/>
        <v>569704130</v>
      </c>
      <c r="AO34" s="823">
        <f t="shared" si="42"/>
        <v>569704130</v>
      </c>
      <c r="AP34" s="823">
        <f t="shared" si="42"/>
        <v>569704130</v>
      </c>
      <c r="AQ34" s="823">
        <f t="shared" si="42"/>
        <v>103350000</v>
      </c>
      <c r="AR34" s="823">
        <f t="shared" si="42"/>
        <v>103350000</v>
      </c>
      <c r="AS34" s="823">
        <f t="shared" si="42"/>
        <v>103350000</v>
      </c>
      <c r="AT34" s="823">
        <f t="shared" si="42"/>
        <v>103350000</v>
      </c>
      <c r="AU34" s="823">
        <f t="shared" si="42"/>
        <v>5626808</v>
      </c>
      <c r="AV34" s="823">
        <f t="shared" si="42"/>
        <v>0</v>
      </c>
      <c r="AW34" s="823">
        <f t="shared" si="42"/>
        <v>0</v>
      </c>
      <c r="AX34" s="823">
        <f t="shared" si="42"/>
        <v>0</v>
      </c>
      <c r="AY34" s="823">
        <f t="shared" si="42"/>
        <v>1062809</v>
      </c>
      <c r="AZ34" s="823">
        <f t="shared" si="42"/>
        <v>0</v>
      </c>
      <c r="BA34" s="823">
        <f t="shared" si="42"/>
        <v>0</v>
      </c>
      <c r="BB34" s="823">
        <f t="shared" si="42"/>
        <v>0</v>
      </c>
      <c r="BC34" s="823">
        <f t="shared" si="42"/>
        <v>0</v>
      </c>
      <c r="BD34" s="823">
        <f t="shared" si="42"/>
        <v>0</v>
      </c>
      <c r="BE34" s="823">
        <f t="shared" si="42"/>
        <v>0</v>
      </c>
      <c r="BF34" s="823">
        <f t="shared" si="42"/>
        <v>0</v>
      </c>
      <c r="BG34" s="823">
        <f t="shared" si="42"/>
        <v>0</v>
      </c>
      <c r="BH34" s="823">
        <f t="shared" si="42"/>
        <v>0</v>
      </c>
      <c r="BI34" s="823">
        <f t="shared" si="42"/>
        <v>0</v>
      </c>
      <c r="BJ34" s="823">
        <f t="shared" si="42"/>
        <v>0</v>
      </c>
      <c r="BK34" s="823">
        <f t="shared" si="42"/>
        <v>0</v>
      </c>
      <c r="BL34" s="823">
        <f t="shared" si="42"/>
        <v>0</v>
      </c>
      <c r="BM34" s="823">
        <f t="shared" si="42"/>
        <v>0</v>
      </c>
      <c r="BN34" s="823">
        <f t="shared" ref="BN34:ED34" si="43">SUM(BN35:BN35)</f>
        <v>0</v>
      </c>
      <c r="BO34" s="823">
        <f t="shared" si="43"/>
        <v>0</v>
      </c>
      <c r="BP34" s="823">
        <f t="shared" si="43"/>
        <v>0</v>
      </c>
      <c r="BQ34" s="823">
        <f t="shared" si="43"/>
        <v>0</v>
      </c>
      <c r="BR34" s="823">
        <f t="shared" si="43"/>
        <v>0</v>
      </c>
      <c r="BS34" s="823">
        <f t="shared" si="43"/>
        <v>0</v>
      </c>
      <c r="BT34" s="823">
        <f t="shared" si="43"/>
        <v>0</v>
      </c>
      <c r="BU34" s="823">
        <f t="shared" si="43"/>
        <v>0</v>
      </c>
      <c r="BV34" s="823">
        <f t="shared" si="43"/>
        <v>0</v>
      </c>
      <c r="BW34" s="823">
        <f t="shared" si="43"/>
        <v>0</v>
      </c>
      <c r="BX34" s="823">
        <f t="shared" si="43"/>
        <v>0</v>
      </c>
      <c r="BY34" s="823">
        <f t="shared" si="43"/>
        <v>0</v>
      </c>
      <c r="BZ34" s="823">
        <f t="shared" si="43"/>
        <v>0</v>
      </c>
      <c r="CA34" s="823">
        <f t="shared" si="43"/>
        <v>0</v>
      </c>
      <c r="CB34" s="823">
        <f t="shared" si="43"/>
        <v>0</v>
      </c>
      <c r="CC34" s="823">
        <f t="shared" si="43"/>
        <v>0</v>
      </c>
      <c r="CD34" s="823">
        <f t="shared" si="43"/>
        <v>0</v>
      </c>
      <c r="CE34" s="823">
        <f t="shared" si="43"/>
        <v>0</v>
      </c>
      <c r="CF34" s="823">
        <f t="shared" si="43"/>
        <v>0</v>
      </c>
      <c r="CG34" s="823">
        <f t="shared" si="43"/>
        <v>0</v>
      </c>
      <c r="CH34" s="823">
        <f t="shared" si="43"/>
        <v>0</v>
      </c>
      <c r="CI34" s="823">
        <f t="shared" si="43"/>
        <v>0</v>
      </c>
      <c r="CJ34" s="823">
        <f t="shared" si="43"/>
        <v>0</v>
      </c>
      <c r="CK34" s="823">
        <f t="shared" si="43"/>
        <v>0</v>
      </c>
      <c r="CL34" s="823">
        <f t="shared" si="43"/>
        <v>0</v>
      </c>
      <c r="CM34" s="823">
        <f t="shared" si="43"/>
        <v>0</v>
      </c>
      <c r="CN34" s="823">
        <f t="shared" si="43"/>
        <v>0</v>
      </c>
      <c r="CO34" s="823">
        <f t="shared" si="43"/>
        <v>0</v>
      </c>
      <c r="CP34" s="823">
        <f t="shared" si="43"/>
        <v>0</v>
      </c>
      <c r="CQ34" s="823">
        <f t="shared" si="43"/>
        <v>0</v>
      </c>
      <c r="CR34" s="823">
        <f t="shared" si="43"/>
        <v>0</v>
      </c>
      <c r="CS34" s="823">
        <f t="shared" si="43"/>
        <v>0</v>
      </c>
      <c r="CT34" s="823">
        <f t="shared" si="43"/>
        <v>0</v>
      </c>
      <c r="CU34" s="823">
        <f t="shared" si="43"/>
        <v>0</v>
      </c>
      <c r="CV34" s="823">
        <f t="shared" si="43"/>
        <v>0</v>
      </c>
      <c r="CW34" s="823">
        <f t="shared" si="43"/>
        <v>0</v>
      </c>
      <c r="CX34" s="823">
        <f t="shared" si="43"/>
        <v>0</v>
      </c>
      <c r="CY34" s="823">
        <f t="shared" si="43"/>
        <v>0</v>
      </c>
      <c r="CZ34" s="823">
        <f t="shared" si="43"/>
        <v>0</v>
      </c>
      <c r="DA34" s="823">
        <f t="shared" si="43"/>
        <v>0</v>
      </c>
      <c r="DB34" s="823">
        <f t="shared" si="43"/>
        <v>0</v>
      </c>
      <c r="DC34" s="823">
        <f t="shared" si="43"/>
        <v>0</v>
      </c>
      <c r="DD34" s="823">
        <f t="shared" si="43"/>
        <v>0</v>
      </c>
      <c r="DE34" s="823">
        <f t="shared" si="43"/>
        <v>0</v>
      </c>
      <c r="DF34" s="823">
        <f t="shared" si="43"/>
        <v>0</v>
      </c>
      <c r="DG34" s="823">
        <f t="shared" si="43"/>
        <v>0</v>
      </c>
      <c r="DH34" s="823">
        <f t="shared" si="43"/>
        <v>0</v>
      </c>
      <c r="DI34" s="823">
        <f t="shared" si="43"/>
        <v>0</v>
      </c>
      <c r="DJ34" s="823">
        <f t="shared" si="43"/>
        <v>0</v>
      </c>
      <c r="DK34" s="823">
        <f t="shared" si="43"/>
        <v>0</v>
      </c>
      <c r="DL34" s="823">
        <f t="shared" si="43"/>
        <v>0</v>
      </c>
      <c r="DM34" s="823">
        <f t="shared" si="43"/>
        <v>0</v>
      </c>
      <c r="DN34" s="823">
        <f t="shared" si="43"/>
        <v>0</v>
      </c>
      <c r="DO34" s="823">
        <f t="shared" si="43"/>
        <v>0</v>
      </c>
      <c r="DP34" s="823">
        <f t="shared" si="43"/>
        <v>0</v>
      </c>
      <c r="DQ34" s="823">
        <f t="shared" si="43"/>
        <v>0</v>
      </c>
      <c r="DR34" s="823">
        <f t="shared" si="43"/>
        <v>0</v>
      </c>
      <c r="DS34" s="823">
        <f t="shared" si="43"/>
        <v>252000</v>
      </c>
      <c r="DT34" s="823">
        <f t="shared" si="43"/>
        <v>0</v>
      </c>
      <c r="DU34" s="823">
        <f t="shared" si="43"/>
        <v>0</v>
      </c>
      <c r="DV34" s="823">
        <f t="shared" si="43"/>
        <v>0</v>
      </c>
      <c r="DW34" s="823">
        <f t="shared" si="43"/>
        <v>540062</v>
      </c>
      <c r="DX34" s="823">
        <f t="shared" si="43"/>
        <v>0</v>
      </c>
      <c r="DY34" s="823">
        <f t="shared" si="43"/>
        <v>0</v>
      </c>
      <c r="DZ34" s="823">
        <f t="shared" si="43"/>
        <v>0</v>
      </c>
      <c r="EA34" s="823">
        <f t="shared" si="43"/>
        <v>0</v>
      </c>
      <c r="EB34" s="823">
        <f t="shared" si="43"/>
        <v>0</v>
      </c>
      <c r="EC34" s="823">
        <f t="shared" si="43"/>
        <v>0</v>
      </c>
      <c r="ED34" s="823">
        <f t="shared" si="43"/>
        <v>0</v>
      </c>
      <c r="EE34" s="810">
        <f t="shared" si="38"/>
        <v>1262580516</v>
      </c>
      <c r="EF34" s="810">
        <f t="shared" si="38"/>
        <v>673054130</v>
      </c>
      <c r="EG34" s="810">
        <f t="shared" si="38"/>
        <v>673054130</v>
      </c>
      <c r="EH34" s="810">
        <f t="shared" si="38"/>
        <v>673054130</v>
      </c>
      <c r="EI34" s="824">
        <f t="shared" si="4"/>
        <v>0</v>
      </c>
      <c r="EJ34" s="838"/>
      <c r="EK34" s="813"/>
    </row>
    <row r="35" spans="1:141" ht="27" thickTop="1" thickBot="1" x14ac:dyDescent="0.3">
      <c r="A35" s="825" t="s">
        <v>1543</v>
      </c>
      <c r="B35" s="826">
        <f>+'Anexo 5.2. informe Gastos'!I110</f>
        <v>1262580516</v>
      </c>
      <c r="C35" s="844">
        <v>0</v>
      </c>
      <c r="D35" s="844">
        <v>0</v>
      </c>
      <c r="E35" s="844">
        <v>0</v>
      </c>
      <c r="F35" s="844">
        <v>0</v>
      </c>
      <c r="G35" s="844">
        <v>0</v>
      </c>
      <c r="H35" s="844">
        <v>0</v>
      </c>
      <c r="I35" s="844">
        <v>0</v>
      </c>
      <c r="J35" s="844">
        <v>0</v>
      </c>
      <c r="K35" s="844">
        <v>0</v>
      </c>
      <c r="L35" s="844">
        <v>0</v>
      </c>
      <c r="M35" s="844">
        <v>0</v>
      </c>
      <c r="N35" s="844">
        <v>0</v>
      </c>
      <c r="O35" s="844">
        <v>0</v>
      </c>
      <c r="P35" s="844">
        <v>0</v>
      </c>
      <c r="Q35" s="844">
        <v>0</v>
      </c>
      <c r="R35" s="844">
        <v>0</v>
      </c>
      <c r="S35" s="844">
        <v>0</v>
      </c>
      <c r="T35" s="844">
        <v>0</v>
      </c>
      <c r="U35" s="844">
        <v>0</v>
      </c>
      <c r="V35" s="844">
        <v>0</v>
      </c>
      <c r="W35" s="844">
        <v>0</v>
      </c>
      <c r="X35" s="844">
        <v>0</v>
      </c>
      <c r="Y35" s="844">
        <v>0</v>
      </c>
      <c r="Z35" s="844">
        <v>0</v>
      </c>
      <c r="AA35" s="844">
        <v>0</v>
      </c>
      <c r="AB35" s="844">
        <v>0</v>
      </c>
      <c r="AC35" s="844">
        <v>0</v>
      </c>
      <c r="AD35" s="844">
        <v>0</v>
      </c>
      <c r="AE35" s="900">
        <v>580109028</v>
      </c>
      <c r="AF35" s="844">
        <v>0</v>
      </c>
      <c r="AG35" s="844">
        <v>0</v>
      </c>
      <c r="AH35" s="844">
        <v>0</v>
      </c>
      <c r="AI35" s="900">
        <v>0</v>
      </c>
      <c r="AJ35" s="844">
        <v>0</v>
      </c>
      <c r="AK35" s="844">
        <v>0</v>
      </c>
      <c r="AL35" s="844">
        <v>0</v>
      </c>
      <c r="AM35" s="900">
        <f>673054130+2652+1933027-103350000</f>
        <v>571639809</v>
      </c>
      <c r="AN35" s="900">
        <f>673054130-103350000</f>
        <v>569704130</v>
      </c>
      <c r="AO35" s="900">
        <f t="shared" ref="AO35:AP35" si="44">673054130-103350000</f>
        <v>569704130</v>
      </c>
      <c r="AP35" s="900">
        <f t="shared" si="44"/>
        <v>569704130</v>
      </c>
      <c r="AQ35" s="900">
        <f>103350000</f>
        <v>103350000</v>
      </c>
      <c r="AR35" s="900">
        <f t="shared" ref="AR35:AT35" si="45">103350000</f>
        <v>103350000</v>
      </c>
      <c r="AS35" s="900">
        <f t="shared" si="45"/>
        <v>103350000</v>
      </c>
      <c r="AT35" s="900">
        <f t="shared" si="45"/>
        <v>103350000</v>
      </c>
      <c r="AU35" s="901">
        <v>5626808</v>
      </c>
      <c r="AV35" s="844">
        <v>0</v>
      </c>
      <c r="AW35" s="844">
        <v>0</v>
      </c>
      <c r="AX35" s="844">
        <v>0</v>
      </c>
      <c r="AY35" s="900">
        <v>1062809</v>
      </c>
      <c r="AZ35" s="844">
        <v>0</v>
      </c>
      <c r="BA35" s="844">
        <v>0</v>
      </c>
      <c r="BB35" s="844">
        <v>0</v>
      </c>
      <c r="BC35" s="827"/>
      <c r="BD35" s="827"/>
      <c r="BE35" s="827"/>
      <c r="BF35" s="827"/>
      <c r="BG35" s="827"/>
      <c r="BH35" s="827"/>
      <c r="BI35" s="827"/>
      <c r="BJ35" s="827"/>
      <c r="BK35" s="827"/>
      <c r="BL35" s="827"/>
      <c r="BM35" s="827"/>
      <c r="BN35" s="827"/>
      <c r="BO35" s="827"/>
      <c r="BP35" s="827"/>
      <c r="BQ35" s="827"/>
      <c r="BR35" s="827"/>
      <c r="BS35" s="827"/>
      <c r="BT35" s="827"/>
      <c r="BU35" s="827"/>
      <c r="BV35" s="827"/>
      <c r="BW35" s="827"/>
      <c r="BX35" s="827"/>
      <c r="BY35" s="827"/>
      <c r="BZ35" s="827"/>
      <c r="CA35" s="827"/>
      <c r="CB35" s="827"/>
      <c r="CC35" s="827"/>
      <c r="CD35" s="827"/>
      <c r="CE35" s="827"/>
      <c r="CF35" s="827"/>
      <c r="CG35" s="827"/>
      <c r="CH35" s="827"/>
      <c r="CI35" s="827"/>
      <c r="CJ35" s="827"/>
      <c r="CK35" s="827"/>
      <c r="CL35" s="827"/>
      <c r="CM35" s="836">
        <v>0</v>
      </c>
      <c r="CN35" s="836">
        <v>0</v>
      </c>
      <c r="CO35" s="836">
        <v>0</v>
      </c>
      <c r="CP35" s="836">
        <v>0</v>
      </c>
      <c r="CQ35" s="836">
        <v>0</v>
      </c>
      <c r="CR35" s="836">
        <v>0</v>
      </c>
      <c r="CS35" s="836">
        <v>0</v>
      </c>
      <c r="CT35" s="836">
        <v>0</v>
      </c>
      <c r="CU35" s="836">
        <v>0</v>
      </c>
      <c r="CV35" s="836">
        <v>0</v>
      </c>
      <c r="CW35" s="836">
        <v>0</v>
      </c>
      <c r="CX35" s="836">
        <v>0</v>
      </c>
      <c r="CY35" s="836">
        <v>0</v>
      </c>
      <c r="CZ35" s="836">
        <v>0</v>
      </c>
      <c r="DA35" s="836">
        <v>0</v>
      </c>
      <c r="DB35" s="836">
        <v>0</v>
      </c>
      <c r="DC35" s="836">
        <v>0</v>
      </c>
      <c r="DD35" s="836">
        <v>0</v>
      </c>
      <c r="DE35" s="836">
        <v>0</v>
      </c>
      <c r="DF35" s="836">
        <v>0</v>
      </c>
      <c r="DG35" s="836">
        <v>0</v>
      </c>
      <c r="DH35" s="836">
        <v>0</v>
      </c>
      <c r="DI35" s="836">
        <v>0</v>
      </c>
      <c r="DJ35" s="836">
        <v>0</v>
      </c>
      <c r="DK35" s="836">
        <v>0</v>
      </c>
      <c r="DL35" s="836">
        <v>0</v>
      </c>
      <c r="DM35" s="836">
        <v>0</v>
      </c>
      <c r="DN35" s="836">
        <v>0</v>
      </c>
      <c r="DO35" s="836">
        <v>0</v>
      </c>
      <c r="DP35" s="836">
        <v>0</v>
      </c>
      <c r="DQ35" s="836">
        <v>0</v>
      </c>
      <c r="DR35" s="836">
        <v>0</v>
      </c>
      <c r="DS35" s="836">
        <v>252000</v>
      </c>
      <c r="DT35" s="836">
        <v>0</v>
      </c>
      <c r="DU35" s="836">
        <v>0</v>
      </c>
      <c r="DV35" s="836">
        <v>0</v>
      </c>
      <c r="DW35" s="836">
        <v>540062</v>
      </c>
      <c r="DX35" s="836">
        <v>0</v>
      </c>
      <c r="DY35" s="836">
        <v>0</v>
      </c>
      <c r="DZ35" s="836">
        <v>0</v>
      </c>
      <c r="EA35" s="844">
        <v>0</v>
      </c>
      <c r="EB35" s="844">
        <v>0</v>
      </c>
      <c r="EC35" s="844">
        <v>0</v>
      </c>
      <c r="ED35" s="844">
        <v>0</v>
      </c>
      <c r="EE35" s="832">
        <f t="shared" si="38"/>
        <v>1262580516</v>
      </c>
      <c r="EF35" s="832">
        <f t="shared" si="38"/>
        <v>673054130</v>
      </c>
      <c r="EG35" s="832">
        <f t="shared" si="38"/>
        <v>673054130</v>
      </c>
      <c r="EH35" s="832">
        <f t="shared" si="38"/>
        <v>673054130</v>
      </c>
      <c r="EI35" s="725">
        <f t="shared" si="4"/>
        <v>0</v>
      </c>
      <c r="EJ35" s="838"/>
      <c r="EK35" s="813"/>
    </row>
    <row r="36" spans="1:141" ht="16.5" thickTop="1" thickBot="1" x14ac:dyDescent="0.3">
      <c r="A36" s="822" t="s">
        <v>1545</v>
      </c>
      <c r="B36" s="823">
        <f t="shared" ref="B36:BM36" si="46">SUM(B37:B37)</f>
        <v>800000000</v>
      </c>
      <c r="C36" s="823">
        <f t="shared" si="46"/>
        <v>0</v>
      </c>
      <c r="D36" s="823">
        <f t="shared" si="46"/>
        <v>0</v>
      </c>
      <c r="E36" s="823">
        <f t="shared" si="46"/>
        <v>0</v>
      </c>
      <c r="F36" s="823">
        <f t="shared" si="46"/>
        <v>0</v>
      </c>
      <c r="G36" s="823">
        <f t="shared" si="46"/>
        <v>0</v>
      </c>
      <c r="H36" s="823">
        <f t="shared" si="46"/>
        <v>0</v>
      </c>
      <c r="I36" s="823">
        <f t="shared" si="46"/>
        <v>0</v>
      </c>
      <c r="J36" s="823">
        <f t="shared" si="46"/>
        <v>0</v>
      </c>
      <c r="K36" s="823">
        <f t="shared" si="46"/>
        <v>0</v>
      </c>
      <c r="L36" s="823">
        <f t="shared" si="46"/>
        <v>0</v>
      </c>
      <c r="M36" s="823">
        <f t="shared" si="46"/>
        <v>0</v>
      </c>
      <c r="N36" s="823">
        <f t="shared" si="46"/>
        <v>0</v>
      </c>
      <c r="O36" s="823">
        <f t="shared" si="46"/>
        <v>0</v>
      </c>
      <c r="P36" s="823">
        <f t="shared" si="46"/>
        <v>0</v>
      </c>
      <c r="Q36" s="823">
        <f t="shared" si="46"/>
        <v>0</v>
      </c>
      <c r="R36" s="823">
        <f t="shared" si="46"/>
        <v>0</v>
      </c>
      <c r="S36" s="823">
        <f t="shared" si="46"/>
        <v>0</v>
      </c>
      <c r="T36" s="823">
        <f t="shared" si="46"/>
        <v>0</v>
      </c>
      <c r="U36" s="823">
        <f t="shared" si="46"/>
        <v>0</v>
      </c>
      <c r="V36" s="823">
        <f t="shared" si="46"/>
        <v>0</v>
      </c>
      <c r="W36" s="823">
        <f t="shared" si="46"/>
        <v>0</v>
      </c>
      <c r="X36" s="823">
        <f t="shared" si="46"/>
        <v>0</v>
      </c>
      <c r="Y36" s="823">
        <f t="shared" si="46"/>
        <v>0</v>
      </c>
      <c r="Z36" s="823">
        <f t="shared" si="46"/>
        <v>0</v>
      </c>
      <c r="AA36" s="823">
        <f t="shared" si="46"/>
        <v>0</v>
      </c>
      <c r="AB36" s="823">
        <f t="shared" si="46"/>
        <v>0</v>
      </c>
      <c r="AC36" s="823">
        <f t="shared" si="46"/>
        <v>0</v>
      </c>
      <c r="AD36" s="823">
        <f t="shared" si="46"/>
        <v>0</v>
      </c>
      <c r="AE36" s="823">
        <f t="shared" si="46"/>
        <v>0</v>
      </c>
      <c r="AF36" s="823">
        <f t="shared" si="46"/>
        <v>0</v>
      </c>
      <c r="AG36" s="823">
        <f t="shared" si="46"/>
        <v>0</v>
      </c>
      <c r="AH36" s="823">
        <f t="shared" si="46"/>
        <v>0</v>
      </c>
      <c r="AI36" s="823">
        <f t="shared" si="46"/>
        <v>0</v>
      </c>
      <c r="AJ36" s="823">
        <f t="shared" si="46"/>
        <v>0</v>
      </c>
      <c r="AK36" s="823">
        <f t="shared" si="46"/>
        <v>0</v>
      </c>
      <c r="AL36" s="823">
        <f t="shared" si="46"/>
        <v>0</v>
      </c>
      <c r="AM36" s="823">
        <f t="shared" si="46"/>
        <v>0</v>
      </c>
      <c r="AN36" s="823">
        <f t="shared" si="46"/>
        <v>0</v>
      </c>
      <c r="AO36" s="823">
        <f t="shared" si="46"/>
        <v>0</v>
      </c>
      <c r="AP36" s="823">
        <f t="shared" si="46"/>
        <v>0</v>
      </c>
      <c r="AQ36" s="823">
        <f t="shared" si="46"/>
        <v>0</v>
      </c>
      <c r="AR36" s="823">
        <f t="shared" si="46"/>
        <v>0</v>
      </c>
      <c r="AS36" s="823">
        <f t="shared" si="46"/>
        <v>0</v>
      </c>
      <c r="AT36" s="823">
        <f t="shared" si="46"/>
        <v>0</v>
      </c>
      <c r="AU36" s="823">
        <f t="shared" si="46"/>
        <v>0</v>
      </c>
      <c r="AV36" s="823">
        <f t="shared" si="46"/>
        <v>0</v>
      </c>
      <c r="AW36" s="823">
        <f t="shared" si="46"/>
        <v>0</v>
      </c>
      <c r="AX36" s="823">
        <f t="shared" si="46"/>
        <v>0</v>
      </c>
      <c r="AY36" s="823">
        <f t="shared" si="46"/>
        <v>0</v>
      </c>
      <c r="AZ36" s="823">
        <f t="shared" si="46"/>
        <v>0</v>
      </c>
      <c r="BA36" s="823">
        <f t="shared" si="46"/>
        <v>0</v>
      </c>
      <c r="BB36" s="823">
        <f t="shared" si="46"/>
        <v>0</v>
      </c>
      <c r="BC36" s="823">
        <f t="shared" si="46"/>
        <v>0</v>
      </c>
      <c r="BD36" s="823">
        <f t="shared" si="46"/>
        <v>0</v>
      </c>
      <c r="BE36" s="823">
        <f t="shared" si="46"/>
        <v>0</v>
      </c>
      <c r="BF36" s="823">
        <f t="shared" si="46"/>
        <v>0</v>
      </c>
      <c r="BG36" s="823">
        <f t="shared" si="46"/>
        <v>0</v>
      </c>
      <c r="BH36" s="823">
        <f t="shared" si="46"/>
        <v>0</v>
      </c>
      <c r="BI36" s="823">
        <f t="shared" si="46"/>
        <v>0</v>
      </c>
      <c r="BJ36" s="823">
        <f t="shared" si="46"/>
        <v>0</v>
      </c>
      <c r="BK36" s="823">
        <f t="shared" si="46"/>
        <v>0</v>
      </c>
      <c r="BL36" s="823">
        <f t="shared" si="46"/>
        <v>0</v>
      </c>
      <c r="BM36" s="823">
        <f t="shared" si="46"/>
        <v>0</v>
      </c>
      <c r="BN36" s="823">
        <f t="shared" ref="BN36:ED36" si="47">SUM(BN37:BN37)</f>
        <v>0</v>
      </c>
      <c r="BO36" s="823">
        <f t="shared" si="47"/>
        <v>0</v>
      </c>
      <c r="BP36" s="823">
        <f t="shared" si="47"/>
        <v>0</v>
      </c>
      <c r="BQ36" s="823">
        <f t="shared" si="47"/>
        <v>0</v>
      </c>
      <c r="BR36" s="823">
        <f t="shared" si="47"/>
        <v>0</v>
      </c>
      <c r="BS36" s="823">
        <f t="shared" si="47"/>
        <v>0</v>
      </c>
      <c r="BT36" s="823">
        <f t="shared" si="47"/>
        <v>0</v>
      </c>
      <c r="BU36" s="823">
        <f t="shared" si="47"/>
        <v>0</v>
      </c>
      <c r="BV36" s="823">
        <f t="shared" si="47"/>
        <v>0</v>
      </c>
      <c r="BW36" s="823">
        <f t="shared" si="47"/>
        <v>0</v>
      </c>
      <c r="BX36" s="823">
        <f t="shared" si="47"/>
        <v>0</v>
      </c>
      <c r="BY36" s="823">
        <f t="shared" si="47"/>
        <v>0</v>
      </c>
      <c r="BZ36" s="823">
        <f t="shared" si="47"/>
        <v>0</v>
      </c>
      <c r="CA36" s="823">
        <f t="shared" si="47"/>
        <v>0</v>
      </c>
      <c r="CB36" s="823">
        <f t="shared" si="47"/>
        <v>0</v>
      </c>
      <c r="CC36" s="823">
        <f t="shared" si="47"/>
        <v>0</v>
      </c>
      <c r="CD36" s="823">
        <f t="shared" si="47"/>
        <v>0</v>
      </c>
      <c r="CE36" s="823">
        <f t="shared" si="47"/>
        <v>0</v>
      </c>
      <c r="CF36" s="823">
        <f t="shared" si="47"/>
        <v>0</v>
      </c>
      <c r="CG36" s="823">
        <f t="shared" si="47"/>
        <v>0</v>
      </c>
      <c r="CH36" s="823">
        <f t="shared" si="47"/>
        <v>0</v>
      </c>
      <c r="CI36" s="823">
        <f t="shared" si="47"/>
        <v>0</v>
      </c>
      <c r="CJ36" s="823">
        <f t="shared" si="47"/>
        <v>0</v>
      </c>
      <c r="CK36" s="823">
        <f t="shared" si="47"/>
        <v>0</v>
      </c>
      <c r="CL36" s="823">
        <f t="shared" si="47"/>
        <v>0</v>
      </c>
      <c r="CM36" s="823">
        <f t="shared" si="47"/>
        <v>0</v>
      </c>
      <c r="CN36" s="823">
        <f t="shared" si="47"/>
        <v>0</v>
      </c>
      <c r="CO36" s="823">
        <f t="shared" si="47"/>
        <v>0</v>
      </c>
      <c r="CP36" s="823">
        <f t="shared" si="47"/>
        <v>0</v>
      </c>
      <c r="CQ36" s="823">
        <f t="shared" si="47"/>
        <v>800000000</v>
      </c>
      <c r="CR36" s="823">
        <f t="shared" si="47"/>
        <v>738475995</v>
      </c>
      <c r="CS36" s="823">
        <f t="shared" si="47"/>
        <v>618582500</v>
      </c>
      <c r="CT36" s="823">
        <f t="shared" si="47"/>
        <v>618582500</v>
      </c>
      <c r="CU36" s="823">
        <f t="shared" si="47"/>
        <v>0</v>
      </c>
      <c r="CV36" s="823">
        <f t="shared" si="47"/>
        <v>0</v>
      </c>
      <c r="CW36" s="823">
        <f t="shared" si="47"/>
        <v>0</v>
      </c>
      <c r="CX36" s="823">
        <f t="shared" si="47"/>
        <v>0</v>
      </c>
      <c r="CY36" s="823">
        <f t="shared" si="47"/>
        <v>0</v>
      </c>
      <c r="CZ36" s="823">
        <f t="shared" si="47"/>
        <v>0</v>
      </c>
      <c r="DA36" s="823">
        <f t="shared" si="47"/>
        <v>0</v>
      </c>
      <c r="DB36" s="823">
        <f t="shared" si="47"/>
        <v>0</v>
      </c>
      <c r="DC36" s="823">
        <f t="shared" si="47"/>
        <v>0</v>
      </c>
      <c r="DD36" s="823">
        <f t="shared" si="47"/>
        <v>0</v>
      </c>
      <c r="DE36" s="823">
        <f t="shared" si="47"/>
        <v>0</v>
      </c>
      <c r="DF36" s="823">
        <f t="shared" si="47"/>
        <v>0</v>
      </c>
      <c r="DG36" s="823">
        <f t="shared" si="47"/>
        <v>0</v>
      </c>
      <c r="DH36" s="823">
        <f t="shared" si="47"/>
        <v>0</v>
      </c>
      <c r="DI36" s="823">
        <f t="shared" si="47"/>
        <v>0</v>
      </c>
      <c r="DJ36" s="823">
        <f t="shared" si="47"/>
        <v>0</v>
      </c>
      <c r="DK36" s="823">
        <f t="shared" si="47"/>
        <v>0</v>
      </c>
      <c r="DL36" s="823">
        <f t="shared" si="47"/>
        <v>0</v>
      </c>
      <c r="DM36" s="823">
        <f t="shared" si="47"/>
        <v>0</v>
      </c>
      <c r="DN36" s="823">
        <f t="shared" si="47"/>
        <v>0</v>
      </c>
      <c r="DO36" s="823">
        <f t="shared" si="47"/>
        <v>0</v>
      </c>
      <c r="DP36" s="823">
        <f t="shared" si="47"/>
        <v>0</v>
      </c>
      <c r="DQ36" s="823">
        <f t="shared" si="47"/>
        <v>0</v>
      </c>
      <c r="DR36" s="823">
        <f t="shared" si="47"/>
        <v>0</v>
      </c>
      <c r="DS36" s="823">
        <f t="shared" si="47"/>
        <v>0</v>
      </c>
      <c r="DT36" s="823">
        <f t="shared" si="47"/>
        <v>0</v>
      </c>
      <c r="DU36" s="823">
        <f t="shared" si="47"/>
        <v>0</v>
      </c>
      <c r="DV36" s="823">
        <f t="shared" si="47"/>
        <v>0</v>
      </c>
      <c r="DW36" s="823">
        <f t="shared" si="47"/>
        <v>0</v>
      </c>
      <c r="DX36" s="823">
        <f t="shared" si="47"/>
        <v>0</v>
      </c>
      <c r="DY36" s="823">
        <f t="shared" si="47"/>
        <v>0</v>
      </c>
      <c r="DZ36" s="823">
        <f t="shared" si="47"/>
        <v>0</v>
      </c>
      <c r="EA36" s="823">
        <f t="shared" si="47"/>
        <v>0</v>
      </c>
      <c r="EB36" s="823">
        <f t="shared" si="47"/>
        <v>0</v>
      </c>
      <c r="EC36" s="823">
        <f t="shared" si="47"/>
        <v>0</v>
      </c>
      <c r="ED36" s="823">
        <f t="shared" si="47"/>
        <v>0</v>
      </c>
      <c r="EE36" s="810">
        <f>+C36+G36+K36+O36+S36+W36+AA36+AE36+AI36+AM36+AQ36+AU36+AY36+BC36+BG36+BK36+BO36+BS36+BW36+CA36+CE36+CI36+CM36+CQ36+CU36+CY36+DC36+DG36+DK36+DO36+EA36+DS36+DW36</f>
        <v>800000000</v>
      </c>
      <c r="EF36" s="810">
        <f>+D36+H36+L36+P36+T36+X36+AB36+AF36+AJ36+AN36+AR36+AV36+AZ36+BD36+BH36+BL36+BP36+BT36+BX36+CB36+CF36+CJ36+CN36+CR36+CV36+CZ36+DD36+DH36+DL36+DP36+EB36+DT36+DX36</f>
        <v>738475995</v>
      </c>
      <c r="EG36" s="810">
        <f>+E36+I36+M36+Q36+U36+Y36+AC36+AG36+AK36+AO36+AS36+AW36+BA36+BE36+BI36+BM36+BQ36+BU36+BY36+CC36+CG36+CK36+CO36+CS36+CW36+DA36+DE36+DI36+DM36+DQ36+EC36+DU36+DY36</f>
        <v>618582500</v>
      </c>
      <c r="EH36" s="810">
        <f>+F36+J36+N36+R36+V36+Z36+AD36+AH36+AL36+AP36+AT36+AX36+BB36+BF36+BJ36+BN36+BR36+BV36+BZ36+CD36+CH36+CL36+CP36+CT36+CX36+DB36+DF36+DJ36+DN36+DR36+ED36+DV36+DZ36</f>
        <v>618582500</v>
      </c>
      <c r="EI36" s="824">
        <f t="shared" si="4"/>
        <v>0</v>
      </c>
      <c r="EJ36" s="838"/>
      <c r="EK36" s="813"/>
    </row>
    <row r="37" spans="1:141" ht="39.75" thickTop="1" thickBot="1" x14ac:dyDescent="0.3">
      <c r="A37" s="825" t="s">
        <v>1547</v>
      </c>
      <c r="B37" s="826">
        <f>+'Anexo 5.2. informe Gastos'!I115</f>
        <v>800000000</v>
      </c>
      <c r="C37" s="837"/>
      <c r="D37" s="837"/>
      <c r="E37" s="837"/>
      <c r="F37" s="837"/>
      <c r="G37" s="837"/>
      <c r="H37" s="837"/>
      <c r="I37" s="837"/>
      <c r="J37" s="837"/>
      <c r="K37" s="837"/>
      <c r="L37" s="837"/>
      <c r="M37" s="837"/>
      <c r="N37" s="837"/>
      <c r="O37" s="842"/>
      <c r="P37" s="842"/>
      <c r="Q37" s="837"/>
      <c r="R37" s="842"/>
      <c r="S37" s="842"/>
      <c r="T37" s="842"/>
      <c r="U37" s="837"/>
      <c r="V37" s="837"/>
      <c r="W37" s="837"/>
      <c r="X37" s="837"/>
      <c r="Y37" s="837"/>
      <c r="Z37" s="837"/>
      <c r="AA37" s="837"/>
      <c r="AB37" s="837"/>
      <c r="AC37" s="837"/>
      <c r="AD37" s="837"/>
      <c r="AE37" s="837"/>
      <c r="AF37" s="837"/>
      <c r="AG37" s="837"/>
      <c r="AH37" s="837"/>
      <c r="AI37" s="837"/>
      <c r="AJ37" s="837"/>
      <c r="AK37" s="837"/>
      <c r="AL37" s="837"/>
      <c r="AM37" s="837"/>
      <c r="AN37" s="837"/>
      <c r="AO37" s="837"/>
      <c r="AP37" s="837"/>
      <c r="AQ37" s="837"/>
      <c r="AR37" s="837"/>
      <c r="AS37" s="837"/>
      <c r="AT37" s="837"/>
      <c r="AU37" s="837"/>
      <c r="AV37" s="837"/>
      <c r="AW37" s="837"/>
      <c r="AX37" s="837"/>
      <c r="AY37" s="837"/>
      <c r="AZ37" s="837"/>
      <c r="BA37" s="837"/>
      <c r="BB37" s="837"/>
      <c r="BC37" s="837"/>
      <c r="BD37" s="837"/>
      <c r="BE37" s="837"/>
      <c r="BF37" s="837"/>
      <c r="BG37" s="837"/>
      <c r="BH37" s="837"/>
      <c r="BI37" s="837"/>
      <c r="BJ37" s="837"/>
      <c r="BK37" s="837"/>
      <c r="BL37" s="837"/>
      <c r="BM37" s="837"/>
      <c r="BN37" s="837"/>
      <c r="BO37" s="837"/>
      <c r="BP37" s="837"/>
      <c r="BQ37" s="837"/>
      <c r="BR37" s="837"/>
      <c r="BS37" s="837"/>
      <c r="BT37" s="837"/>
      <c r="BU37" s="837"/>
      <c r="BV37" s="837"/>
      <c r="BW37" s="837"/>
      <c r="BX37" s="837"/>
      <c r="BY37" s="837"/>
      <c r="BZ37" s="837"/>
      <c r="CA37" s="837"/>
      <c r="CB37" s="837"/>
      <c r="CC37" s="837"/>
      <c r="CD37" s="837"/>
      <c r="CE37" s="837"/>
      <c r="CF37" s="837"/>
      <c r="CG37" s="837"/>
      <c r="CH37" s="837"/>
      <c r="CI37" s="837"/>
      <c r="CJ37" s="837"/>
      <c r="CK37" s="837"/>
      <c r="CL37" s="837"/>
      <c r="CM37" s="829"/>
      <c r="CN37" s="829"/>
      <c r="CO37" s="831"/>
      <c r="CP37" s="831"/>
      <c r="CQ37" s="834">
        <v>800000000</v>
      </c>
      <c r="CR37" s="829">
        <v>738475995</v>
      </c>
      <c r="CS37" s="831">
        <v>618582500</v>
      </c>
      <c r="CT37" s="831">
        <v>618582500</v>
      </c>
      <c r="CU37" s="829"/>
      <c r="CV37" s="829"/>
      <c r="CW37" s="831"/>
      <c r="CX37" s="831"/>
      <c r="CY37" s="829"/>
      <c r="CZ37" s="829"/>
      <c r="DA37" s="831"/>
      <c r="DB37" s="831"/>
      <c r="DC37" s="829"/>
      <c r="DD37" s="829"/>
      <c r="DE37" s="831"/>
      <c r="DF37" s="831"/>
      <c r="DG37" s="829"/>
      <c r="DH37" s="829"/>
      <c r="DI37" s="831"/>
      <c r="DJ37" s="831"/>
      <c r="DK37" s="829"/>
      <c r="DL37" s="829"/>
      <c r="DM37" s="831"/>
      <c r="DN37" s="831"/>
      <c r="DO37" s="829"/>
      <c r="DP37" s="829"/>
      <c r="DQ37" s="831"/>
      <c r="DR37" s="831"/>
      <c r="DS37" s="829"/>
      <c r="DT37" s="829"/>
      <c r="DU37" s="831"/>
      <c r="DV37" s="831"/>
      <c r="DW37" s="829"/>
      <c r="DX37" s="829"/>
      <c r="DY37" s="831"/>
      <c r="DZ37" s="831"/>
      <c r="EA37" s="842"/>
      <c r="EB37" s="842"/>
      <c r="EC37" s="837"/>
      <c r="ED37" s="837"/>
      <c r="EE37" s="832">
        <f t="shared" ref="EE37:EH37" si="48">+C37+G37+K37+O37+S37+W37+AA37+AE37+AI37+AM37+AQ37+AU37+AY37+BC37+BG37+BK37+BO37+BS37+BW37+CA37+CE37+CI37+CM37+CQ37+CU37+CY37+DC37+DG37+DK37+DO37+EA37+DS37+DW37</f>
        <v>800000000</v>
      </c>
      <c r="EF37" s="832">
        <f t="shared" si="48"/>
        <v>738475995</v>
      </c>
      <c r="EG37" s="832">
        <f t="shared" si="48"/>
        <v>618582500</v>
      </c>
      <c r="EH37" s="832">
        <f t="shared" si="48"/>
        <v>618582500</v>
      </c>
      <c r="EI37" s="725">
        <f t="shared" si="4"/>
        <v>0</v>
      </c>
      <c r="EJ37" s="838"/>
      <c r="EK37" s="813"/>
    </row>
    <row r="38" spans="1:141" ht="27" thickTop="1" thickBot="1" x14ac:dyDescent="0.3">
      <c r="A38" s="822" t="s">
        <v>1551</v>
      </c>
      <c r="B38" s="823">
        <f>SUM(B39:B40)</f>
        <v>92364715975</v>
      </c>
      <c r="C38" s="823">
        <f t="shared" ref="C38:CE38" si="49">SUM(C39:C40)</f>
        <v>0</v>
      </c>
      <c r="D38" s="823">
        <f t="shared" si="49"/>
        <v>0</v>
      </c>
      <c r="E38" s="823">
        <f t="shared" si="49"/>
        <v>0</v>
      </c>
      <c r="F38" s="823">
        <f t="shared" si="49"/>
        <v>0</v>
      </c>
      <c r="G38" s="823">
        <f t="shared" si="49"/>
        <v>0</v>
      </c>
      <c r="H38" s="823">
        <f t="shared" si="49"/>
        <v>0</v>
      </c>
      <c r="I38" s="823">
        <f t="shared" si="49"/>
        <v>0</v>
      </c>
      <c r="J38" s="823">
        <f t="shared" si="49"/>
        <v>0</v>
      </c>
      <c r="K38" s="823">
        <f>SUM(K39:K40)</f>
        <v>0</v>
      </c>
      <c r="L38" s="823">
        <f>SUM(L39:L40)</f>
        <v>0</v>
      </c>
      <c r="M38" s="823">
        <f>SUM(M39:M40)</f>
        <v>0</v>
      </c>
      <c r="N38" s="823">
        <f>SUM(N39:N40)</f>
        <v>0</v>
      </c>
      <c r="O38" s="823">
        <f t="shared" si="49"/>
        <v>0</v>
      </c>
      <c r="P38" s="823">
        <f t="shared" si="49"/>
        <v>0</v>
      </c>
      <c r="Q38" s="823">
        <f t="shared" si="49"/>
        <v>0</v>
      </c>
      <c r="R38" s="823">
        <f t="shared" si="49"/>
        <v>0</v>
      </c>
      <c r="S38" s="823">
        <f t="shared" si="49"/>
        <v>0</v>
      </c>
      <c r="T38" s="823">
        <f t="shared" si="49"/>
        <v>0</v>
      </c>
      <c r="U38" s="823">
        <f t="shared" si="49"/>
        <v>0</v>
      </c>
      <c r="V38" s="823">
        <f t="shared" si="49"/>
        <v>0</v>
      </c>
      <c r="W38" s="823">
        <f t="shared" si="49"/>
        <v>0</v>
      </c>
      <c r="X38" s="823">
        <f t="shared" si="49"/>
        <v>0</v>
      </c>
      <c r="Y38" s="823">
        <f t="shared" si="49"/>
        <v>0</v>
      </c>
      <c r="Z38" s="823">
        <f t="shared" si="49"/>
        <v>0</v>
      </c>
      <c r="AA38" s="823">
        <f t="shared" si="49"/>
        <v>0</v>
      </c>
      <c r="AB38" s="823">
        <f t="shared" si="49"/>
        <v>0</v>
      </c>
      <c r="AC38" s="823">
        <f t="shared" si="49"/>
        <v>0</v>
      </c>
      <c r="AD38" s="823">
        <f t="shared" si="49"/>
        <v>0</v>
      </c>
      <c r="AE38" s="823">
        <f>SUM(AE39:AE40)</f>
        <v>0</v>
      </c>
      <c r="AF38" s="823">
        <f>SUM(AF39:AF40)</f>
        <v>0</v>
      </c>
      <c r="AG38" s="823">
        <f>SUM(AG39:AG40)</f>
        <v>0</v>
      </c>
      <c r="AH38" s="823">
        <f>SUM(AH39:AH40)</f>
        <v>0</v>
      </c>
      <c r="AI38" s="823">
        <f t="shared" si="49"/>
        <v>0</v>
      </c>
      <c r="AJ38" s="823">
        <f t="shared" si="49"/>
        <v>0</v>
      </c>
      <c r="AK38" s="823">
        <f t="shared" si="49"/>
        <v>0</v>
      </c>
      <c r="AL38" s="823">
        <f t="shared" si="49"/>
        <v>0</v>
      </c>
      <c r="AM38" s="823">
        <f t="shared" si="49"/>
        <v>0</v>
      </c>
      <c r="AN38" s="823">
        <f t="shared" si="49"/>
        <v>0</v>
      </c>
      <c r="AO38" s="823">
        <f t="shared" si="49"/>
        <v>0</v>
      </c>
      <c r="AP38" s="823">
        <f t="shared" si="49"/>
        <v>0</v>
      </c>
      <c r="AQ38" s="823">
        <f t="shared" si="49"/>
        <v>0</v>
      </c>
      <c r="AR38" s="823">
        <f t="shared" si="49"/>
        <v>0</v>
      </c>
      <c r="AS38" s="823">
        <f t="shared" si="49"/>
        <v>0</v>
      </c>
      <c r="AT38" s="823">
        <f t="shared" si="49"/>
        <v>0</v>
      </c>
      <c r="AU38" s="823">
        <f t="shared" si="49"/>
        <v>0</v>
      </c>
      <c r="AV38" s="823">
        <f t="shared" si="49"/>
        <v>0</v>
      </c>
      <c r="AW38" s="823">
        <f t="shared" si="49"/>
        <v>0</v>
      </c>
      <c r="AX38" s="823">
        <f t="shared" si="49"/>
        <v>0</v>
      </c>
      <c r="AY38" s="823">
        <f t="shared" si="49"/>
        <v>0</v>
      </c>
      <c r="AZ38" s="823">
        <f t="shared" si="49"/>
        <v>0</v>
      </c>
      <c r="BA38" s="823">
        <f t="shared" si="49"/>
        <v>0</v>
      </c>
      <c r="BB38" s="823">
        <f t="shared" si="49"/>
        <v>0</v>
      </c>
      <c r="BC38" s="823">
        <f t="shared" si="49"/>
        <v>79057608517</v>
      </c>
      <c r="BD38" s="823">
        <f t="shared" si="49"/>
        <v>78932170681</v>
      </c>
      <c r="BE38" s="823">
        <f t="shared" si="49"/>
        <v>65699767403</v>
      </c>
      <c r="BF38" s="823">
        <f t="shared" si="49"/>
        <v>65699767403</v>
      </c>
      <c r="BG38" s="823">
        <f t="shared" si="49"/>
        <v>13307107458</v>
      </c>
      <c r="BH38" s="823">
        <f t="shared" si="49"/>
        <v>13307107289</v>
      </c>
      <c r="BI38" s="823">
        <f t="shared" si="49"/>
        <v>13221086690</v>
      </c>
      <c r="BJ38" s="823">
        <f t="shared" si="49"/>
        <v>11285911279</v>
      </c>
      <c r="BK38" s="823">
        <f t="shared" si="49"/>
        <v>0</v>
      </c>
      <c r="BL38" s="823">
        <f t="shared" si="49"/>
        <v>0</v>
      </c>
      <c r="BM38" s="823">
        <f t="shared" si="49"/>
        <v>0</v>
      </c>
      <c r="BN38" s="823">
        <f t="shared" si="49"/>
        <v>0</v>
      </c>
      <c r="BO38" s="823">
        <f>SUM(BO39:BO40)</f>
        <v>0</v>
      </c>
      <c r="BP38" s="823">
        <f>SUM(BP39:BP40)</f>
        <v>0</v>
      </c>
      <c r="BQ38" s="823">
        <f>SUM(BQ39:BQ40)</f>
        <v>0</v>
      </c>
      <c r="BR38" s="823">
        <f>SUM(BR39:BR40)</f>
        <v>0</v>
      </c>
      <c r="BS38" s="823">
        <f t="shared" si="49"/>
        <v>0</v>
      </c>
      <c r="BT38" s="823">
        <f t="shared" si="49"/>
        <v>0</v>
      </c>
      <c r="BU38" s="823">
        <f t="shared" si="49"/>
        <v>0</v>
      </c>
      <c r="BV38" s="823">
        <f t="shared" si="49"/>
        <v>0</v>
      </c>
      <c r="BW38" s="823">
        <f t="shared" si="49"/>
        <v>0</v>
      </c>
      <c r="BX38" s="823">
        <f t="shared" si="49"/>
        <v>0</v>
      </c>
      <c r="BY38" s="823">
        <f t="shared" si="49"/>
        <v>0</v>
      </c>
      <c r="BZ38" s="823">
        <f t="shared" si="49"/>
        <v>0</v>
      </c>
      <c r="CA38" s="823">
        <f>SUM(CA39:CA40)</f>
        <v>0</v>
      </c>
      <c r="CB38" s="823">
        <f>SUM(CB39:CB40)</f>
        <v>0</v>
      </c>
      <c r="CC38" s="823">
        <f>SUM(CC39:CC40)</f>
        <v>0</v>
      </c>
      <c r="CD38" s="823">
        <f>SUM(CD39:CD40)</f>
        <v>0</v>
      </c>
      <c r="CE38" s="823">
        <f t="shared" si="49"/>
        <v>0</v>
      </c>
      <c r="CF38" s="823">
        <f t="shared" ref="CF38:ED38" si="50">SUM(CF39:CF40)</f>
        <v>0</v>
      </c>
      <c r="CG38" s="823">
        <f t="shared" si="50"/>
        <v>0</v>
      </c>
      <c r="CH38" s="823">
        <f t="shared" si="50"/>
        <v>0</v>
      </c>
      <c r="CI38" s="823">
        <f t="shared" si="50"/>
        <v>0</v>
      </c>
      <c r="CJ38" s="823">
        <f t="shared" si="50"/>
        <v>0</v>
      </c>
      <c r="CK38" s="823">
        <f t="shared" si="50"/>
        <v>0</v>
      </c>
      <c r="CL38" s="823">
        <f t="shared" si="50"/>
        <v>0</v>
      </c>
      <c r="CM38" s="823">
        <f t="shared" si="50"/>
        <v>0</v>
      </c>
      <c r="CN38" s="823">
        <f t="shared" si="50"/>
        <v>0</v>
      </c>
      <c r="CO38" s="823">
        <f t="shared" si="50"/>
        <v>0</v>
      </c>
      <c r="CP38" s="823">
        <f t="shared" si="50"/>
        <v>0</v>
      </c>
      <c r="CQ38" s="823">
        <f t="shared" si="50"/>
        <v>0</v>
      </c>
      <c r="CR38" s="823">
        <f t="shared" si="50"/>
        <v>0</v>
      </c>
      <c r="CS38" s="823">
        <f t="shared" si="50"/>
        <v>0</v>
      </c>
      <c r="CT38" s="823">
        <f t="shared" si="50"/>
        <v>0</v>
      </c>
      <c r="CU38" s="823">
        <f t="shared" si="50"/>
        <v>0</v>
      </c>
      <c r="CV38" s="823">
        <f t="shared" si="50"/>
        <v>0</v>
      </c>
      <c r="CW38" s="823">
        <f t="shared" si="50"/>
        <v>0</v>
      </c>
      <c r="CX38" s="823">
        <f t="shared" si="50"/>
        <v>0</v>
      </c>
      <c r="CY38" s="823">
        <f t="shared" si="50"/>
        <v>0</v>
      </c>
      <c r="CZ38" s="823">
        <f t="shared" si="50"/>
        <v>0</v>
      </c>
      <c r="DA38" s="823">
        <f t="shared" si="50"/>
        <v>0</v>
      </c>
      <c r="DB38" s="823">
        <f t="shared" si="50"/>
        <v>0</v>
      </c>
      <c r="DC38" s="823">
        <f t="shared" si="50"/>
        <v>0</v>
      </c>
      <c r="DD38" s="823">
        <f t="shared" si="50"/>
        <v>0</v>
      </c>
      <c r="DE38" s="823">
        <f t="shared" si="50"/>
        <v>0</v>
      </c>
      <c r="DF38" s="823">
        <f t="shared" si="50"/>
        <v>0</v>
      </c>
      <c r="DG38" s="823">
        <f t="shared" si="50"/>
        <v>0</v>
      </c>
      <c r="DH38" s="823">
        <f t="shared" si="50"/>
        <v>0</v>
      </c>
      <c r="DI38" s="823">
        <f t="shared" si="50"/>
        <v>0</v>
      </c>
      <c r="DJ38" s="823">
        <f t="shared" si="50"/>
        <v>0</v>
      </c>
      <c r="DK38" s="823">
        <f t="shared" si="50"/>
        <v>0</v>
      </c>
      <c r="DL38" s="823">
        <f t="shared" si="50"/>
        <v>0</v>
      </c>
      <c r="DM38" s="823">
        <f t="shared" si="50"/>
        <v>0</v>
      </c>
      <c r="DN38" s="823">
        <f t="shared" si="50"/>
        <v>0</v>
      </c>
      <c r="DO38" s="823">
        <f t="shared" si="50"/>
        <v>0</v>
      </c>
      <c r="DP38" s="823">
        <f t="shared" si="50"/>
        <v>0</v>
      </c>
      <c r="DQ38" s="823">
        <f t="shared" si="50"/>
        <v>0</v>
      </c>
      <c r="DR38" s="823">
        <f t="shared" si="50"/>
        <v>0</v>
      </c>
      <c r="DS38" s="823">
        <f t="shared" si="50"/>
        <v>0</v>
      </c>
      <c r="DT38" s="823">
        <f t="shared" si="50"/>
        <v>0</v>
      </c>
      <c r="DU38" s="823">
        <f t="shared" si="50"/>
        <v>0</v>
      </c>
      <c r="DV38" s="823">
        <f t="shared" si="50"/>
        <v>0</v>
      </c>
      <c r="DW38" s="823">
        <f t="shared" si="50"/>
        <v>0</v>
      </c>
      <c r="DX38" s="823">
        <f t="shared" si="50"/>
        <v>0</v>
      </c>
      <c r="DY38" s="823">
        <f t="shared" si="50"/>
        <v>0</v>
      </c>
      <c r="DZ38" s="823">
        <f t="shared" si="50"/>
        <v>0</v>
      </c>
      <c r="EA38" s="823">
        <f t="shared" si="50"/>
        <v>0</v>
      </c>
      <c r="EB38" s="823">
        <f t="shared" si="50"/>
        <v>0</v>
      </c>
      <c r="EC38" s="823">
        <f t="shared" si="50"/>
        <v>0</v>
      </c>
      <c r="ED38" s="823">
        <f t="shared" si="50"/>
        <v>0</v>
      </c>
      <c r="EE38" s="810">
        <f>+C38+G38+K38+O38+S38+W38+AA38+AE38+AI38+AM38+AQ38+AU38+AY38+BC38+BG38+BK38+BO38+BS38+BW38+CA38+CE38+CI38+CM38+CQ38+CU38+CY38+DC38+DG38+DK38+DO38+EA38+DS38+DW38</f>
        <v>92364715975</v>
      </c>
      <c r="EF38" s="810">
        <f>+D38+H38+L38+P38+T38+X38+AB38+AF38+AJ38+AN38+AR38+AV38+AZ38+BD38+BH38+BL38+BP38+BT38+BX38+CB38+CF38+CJ38+CN38+CR38+CV38+CZ38+DD38+DH38+DL38+DP38+EB38+DT38+DX38</f>
        <v>92239277970</v>
      </c>
      <c r="EG38" s="810">
        <f>+E38+I38+M38+Q38+U38+Y38+AC38+AG38+AK38+AO38+AS38+AW38+BA38+BE38+BI38+BM38+BQ38+BU38+BY38+CC38+CG38+CK38+CO38+CS38+CW38+DA38+DE38+DI38+DM38+DQ38+EC38+DU38+DY38</f>
        <v>78920854093</v>
      </c>
      <c r="EH38" s="810">
        <f>+F38+J38+N38+R38+V38+Z38+AD38+AH38+AL38+AP38+AT38+AX38+BB38+BF38+BJ38+BN38+BR38+BV38+BZ38+CD38+CH38+CL38+CP38+CT38+CX38+DB38+DF38+DJ38+DN38+DR38+ED38+DV38+DZ38</f>
        <v>76985678682</v>
      </c>
      <c r="EI38" s="824">
        <f t="shared" si="4"/>
        <v>0</v>
      </c>
      <c r="EK38" s="813"/>
    </row>
    <row r="39" spans="1:141" ht="27" thickTop="1" thickBot="1" x14ac:dyDescent="0.3">
      <c r="A39" s="825" t="s">
        <v>1552</v>
      </c>
      <c r="B39" s="826">
        <f>12909200638+79057608517</f>
        <v>91966809155</v>
      </c>
      <c r="C39" s="837"/>
      <c r="D39" s="837"/>
      <c r="E39" s="837"/>
      <c r="F39" s="837"/>
      <c r="G39" s="837"/>
      <c r="H39" s="837"/>
      <c r="I39" s="837"/>
      <c r="J39" s="837"/>
      <c r="K39" s="837"/>
      <c r="L39" s="837"/>
      <c r="M39" s="837"/>
      <c r="N39" s="837"/>
      <c r="O39" s="842"/>
      <c r="P39" s="842"/>
      <c r="Q39" s="837"/>
      <c r="R39" s="842"/>
      <c r="S39" s="842"/>
      <c r="T39" s="842"/>
      <c r="U39" s="837"/>
      <c r="V39" s="837"/>
      <c r="W39" s="837"/>
      <c r="X39" s="837"/>
      <c r="Y39" s="837"/>
      <c r="Z39" s="837"/>
      <c r="AA39" s="837"/>
      <c r="AB39" s="837"/>
      <c r="AC39" s="837"/>
      <c r="AD39" s="837"/>
      <c r="AE39" s="837"/>
      <c r="AF39" s="837"/>
      <c r="AG39" s="837"/>
      <c r="AH39" s="837"/>
      <c r="AI39" s="837"/>
      <c r="AJ39" s="837"/>
      <c r="AK39" s="837"/>
      <c r="AL39" s="837"/>
      <c r="AM39" s="837"/>
      <c r="AN39" s="837"/>
      <c r="AO39" s="837"/>
      <c r="AP39" s="837"/>
      <c r="AQ39" s="837"/>
      <c r="AR39" s="837"/>
      <c r="AS39" s="837"/>
      <c r="AT39" s="837"/>
      <c r="AU39" s="837"/>
      <c r="AV39" s="837"/>
      <c r="AW39" s="837"/>
      <c r="AX39" s="837"/>
      <c r="AY39" s="837"/>
      <c r="AZ39" s="837"/>
      <c r="BA39" s="837"/>
      <c r="BB39" s="837"/>
      <c r="BC39" s="847">
        <v>79057608517</v>
      </c>
      <c r="BD39" s="831">
        <v>78932170681</v>
      </c>
      <c r="BE39" s="831">
        <v>65699767403</v>
      </c>
      <c r="BF39" s="831">
        <v>65699767403</v>
      </c>
      <c r="BG39" s="847">
        <v>12909200638</v>
      </c>
      <c r="BH39" s="831">
        <v>12909200469</v>
      </c>
      <c r="BI39" s="831">
        <v>12876569526</v>
      </c>
      <c r="BJ39" s="831">
        <v>10941394115</v>
      </c>
      <c r="BK39" s="827"/>
      <c r="BL39" s="827"/>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36">
        <v>0</v>
      </c>
      <c r="CN39" s="836">
        <v>0</v>
      </c>
      <c r="CO39" s="836">
        <v>0</v>
      </c>
      <c r="CP39" s="836">
        <v>0</v>
      </c>
      <c r="CQ39" s="836">
        <v>0</v>
      </c>
      <c r="CR39" s="836">
        <v>0</v>
      </c>
      <c r="CS39" s="836">
        <v>0</v>
      </c>
      <c r="CT39" s="836">
        <v>0</v>
      </c>
      <c r="CU39" s="836">
        <v>0</v>
      </c>
      <c r="CV39" s="836">
        <v>0</v>
      </c>
      <c r="CW39" s="836">
        <v>0</v>
      </c>
      <c r="CX39" s="836">
        <v>0</v>
      </c>
      <c r="CY39" s="836">
        <v>0</v>
      </c>
      <c r="CZ39" s="836">
        <v>0</v>
      </c>
      <c r="DA39" s="836">
        <v>0</v>
      </c>
      <c r="DB39" s="836">
        <v>0</v>
      </c>
      <c r="DC39" s="836">
        <v>0</v>
      </c>
      <c r="DD39" s="836">
        <v>0</v>
      </c>
      <c r="DE39" s="836">
        <v>0</v>
      </c>
      <c r="DF39" s="836">
        <v>0</v>
      </c>
      <c r="DG39" s="836">
        <v>0</v>
      </c>
      <c r="DH39" s="836">
        <v>0</v>
      </c>
      <c r="DI39" s="836">
        <v>0</v>
      </c>
      <c r="DJ39" s="836">
        <v>0</v>
      </c>
      <c r="DK39" s="836">
        <v>0</v>
      </c>
      <c r="DL39" s="836">
        <v>0</v>
      </c>
      <c r="DM39" s="836">
        <v>0</v>
      </c>
      <c r="DN39" s="836">
        <v>0</v>
      </c>
      <c r="DO39" s="836">
        <v>0</v>
      </c>
      <c r="DP39" s="836">
        <v>0</v>
      </c>
      <c r="DQ39" s="836">
        <v>0</v>
      </c>
      <c r="DR39" s="836">
        <v>0</v>
      </c>
      <c r="DS39" s="836">
        <v>0</v>
      </c>
      <c r="DT39" s="836">
        <v>0</v>
      </c>
      <c r="DU39" s="836">
        <v>0</v>
      </c>
      <c r="DV39" s="836">
        <v>0</v>
      </c>
      <c r="DW39" s="836">
        <v>0</v>
      </c>
      <c r="DX39" s="836">
        <v>0</v>
      </c>
      <c r="DY39" s="836">
        <v>0</v>
      </c>
      <c r="DZ39" s="836">
        <v>0</v>
      </c>
      <c r="EA39" s="842"/>
      <c r="EB39" s="842"/>
      <c r="EC39" s="837"/>
      <c r="ED39" s="837"/>
      <c r="EE39" s="832">
        <f t="shared" ref="EE39:EH40" si="51">+C39+G39+K39+O39+S39+W39+AA39+AE39+AI39+AM39+AQ39+AU39+AY39+BC39+BG39+BK39+BO39+BS39+BW39+CA39+CE39+CI39+CM39+CQ39+CU39+CY39+DC39+DG39+DK39+DO39+EA39+DS39+DW39</f>
        <v>91966809155</v>
      </c>
      <c r="EF39" s="832">
        <f t="shared" si="51"/>
        <v>91841371150</v>
      </c>
      <c r="EG39" s="832">
        <f t="shared" si="51"/>
        <v>78576336929</v>
      </c>
      <c r="EH39" s="832">
        <f t="shared" si="51"/>
        <v>76641161518</v>
      </c>
      <c r="EI39" s="725">
        <f t="shared" si="4"/>
        <v>0</v>
      </c>
      <c r="EJ39" s="838"/>
      <c r="EK39" s="813"/>
    </row>
    <row r="40" spans="1:141" ht="21.75" customHeight="1" thickTop="1" thickBot="1" x14ac:dyDescent="0.3">
      <c r="A40" s="825" t="s">
        <v>1553</v>
      </c>
      <c r="B40" s="826">
        <f>+'Anexo 5.2. informe Gastos'!I120</f>
        <v>397906820</v>
      </c>
      <c r="C40" s="827"/>
      <c r="D40" s="827"/>
      <c r="E40" s="827"/>
      <c r="F40" s="827"/>
      <c r="G40" s="827"/>
      <c r="H40" s="827"/>
      <c r="I40" s="827"/>
      <c r="J40" s="827"/>
      <c r="K40" s="827"/>
      <c r="L40" s="827"/>
      <c r="M40" s="827"/>
      <c r="N40" s="827"/>
      <c r="O40" s="828"/>
      <c r="P40" s="828"/>
      <c r="Q40" s="827"/>
      <c r="R40" s="828"/>
      <c r="S40" s="828"/>
      <c r="T40" s="828"/>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47">
        <v>397906820</v>
      </c>
      <c r="BH40" s="831">
        <v>397906820</v>
      </c>
      <c r="BI40" s="831">
        <v>344517164</v>
      </c>
      <c r="BJ40" s="831">
        <v>344517164</v>
      </c>
      <c r="BK40" s="827"/>
      <c r="BL40" s="827"/>
      <c r="BM40" s="827"/>
      <c r="BN40" s="827"/>
      <c r="BO40" s="827"/>
      <c r="BP40" s="827"/>
      <c r="BQ40" s="827"/>
      <c r="BR40" s="827"/>
      <c r="BS40" s="827"/>
      <c r="BT40" s="827"/>
      <c r="BU40" s="827"/>
      <c r="BV40" s="827"/>
      <c r="BW40" s="827"/>
      <c r="BX40" s="827"/>
      <c r="BY40" s="827"/>
      <c r="BZ40" s="827"/>
      <c r="CA40" s="827"/>
      <c r="CB40" s="827"/>
      <c r="CC40" s="827"/>
      <c r="CD40" s="827"/>
      <c r="CE40" s="827"/>
      <c r="CF40" s="827"/>
      <c r="CG40" s="827"/>
      <c r="CH40" s="827"/>
      <c r="CI40" s="827"/>
      <c r="CJ40" s="827"/>
      <c r="CK40" s="827"/>
      <c r="CL40" s="827"/>
      <c r="CM40" s="836">
        <v>0</v>
      </c>
      <c r="CN40" s="836">
        <v>0</v>
      </c>
      <c r="CO40" s="836">
        <v>0</v>
      </c>
      <c r="CP40" s="836">
        <v>0</v>
      </c>
      <c r="CQ40" s="836">
        <v>0</v>
      </c>
      <c r="CR40" s="836">
        <v>0</v>
      </c>
      <c r="CS40" s="836">
        <v>0</v>
      </c>
      <c r="CT40" s="836">
        <v>0</v>
      </c>
      <c r="CU40" s="836">
        <v>0</v>
      </c>
      <c r="CV40" s="836">
        <v>0</v>
      </c>
      <c r="CW40" s="836">
        <v>0</v>
      </c>
      <c r="CX40" s="836">
        <v>0</v>
      </c>
      <c r="CY40" s="836">
        <v>0</v>
      </c>
      <c r="CZ40" s="836">
        <v>0</v>
      </c>
      <c r="DA40" s="836">
        <v>0</v>
      </c>
      <c r="DB40" s="836">
        <v>0</v>
      </c>
      <c r="DC40" s="836">
        <v>0</v>
      </c>
      <c r="DD40" s="836">
        <v>0</v>
      </c>
      <c r="DE40" s="836">
        <v>0</v>
      </c>
      <c r="DF40" s="836">
        <v>0</v>
      </c>
      <c r="DG40" s="836">
        <v>0</v>
      </c>
      <c r="DH40" s="836">
        <v>0</v>
      </c>
      <c r="DI40" s="836">
        <v>0</v>
      </c>
      <c r="DJ40" s="836">
        <v>0</v>
      </c>
      <c r="DK40" s="836">
        <v>0</v>
      </c>
      <c r="DL40" s="836">
        <v>0</v>
      </c>
      <c r="DM40" s="836">
        <v>0</v>
      </c>
      <c r="DN40" s="836">
        <v>0</v>
      </c>
      <c r="DO40" s="836">
        <v>0</v>
      </c>
      <c r="DP40" s="836">
        <v>0</v>
      </c>
      <c r="DQ40" s="836">
        <v>0</v>
      </c>
      <c r="DR40" s="836">
        <v>0</v>
      </c>
      <c r="DS40" s="836">
        <v>0</v>
      </c>
      <c r="DT40" s="836">
        <v>0</v>
      </c>
      <c r="DU40" s="836">
        <v>0</v>
      </c>
      <c r="DV40" s="836">
        <v>0</v>
      </c>
      <c r="DW40" s="836">
        <v>0</v>
      </c>
      <c r="DX40" s="836">
        <v>0</v>
      </c>
      <c r="DY40" s="836">
        <v>0</v>
      </c>
      <c r="DZ40" s="836">
        <v>0</v>
      </c>
      <c r="EA40" s="828"/>
      <c r="EB40" s="828"/>
      <c r="EC40" s="827"/>
      <c r="ED40" s="827"/>
      <c r="EE40" s="832">
        <f t="shared" si="51"/>
        <v>397906820</v>
      </c>
      <c r="EF40" s="832">
        <f t="shared" si="51"/>
        <v>397906820</v>
      </c>
      <c r="EG40" s="832">
        <f t="shared" si="51"/>
        <v>344517164</v>
      </c>
      <c r="EH40" s="832">
        <f t="shared" si="51"/>
        <v>344517164</v>
      </c>
      <c r="EI40" s="725">
        <f t="shared" si="4"/>
        <v>0</v>
      </c>
      <c r="EJ40" s="838"/>
      <c r="EK40" s="813"/>
    </row>
    <row r="41" spans="1:141" ht="27" thickTop="1" thickBot="1" x14ac:dyDescent="0.3">
      <c r="A41" s="822" t="s">
        <v>1554</v>
      </c>
      <c r="B41" s="823">
        <f t="shared" ref="B41:BM41" si="52">SUM(B42:B42)</f>
        <v>240000000</v>
      </c>
      <c r="C41" s="823">
        <f t="shared" si="52"/>
        <v>0</v>
      </c>
      <c r="D41" s="823">
        <f t="shared" si="52"/>
        <v>0</v>
      </c>
      <c r="E41" s="823">
        <f t="shared" si="52"/>
        <v>0</v>
      </c>
      <c r="F41" s="823">
        <f t="shared" si="52"/>
        <v>0</v>
      </c>
      <c r="G41" s="823">
        <f t="shared" si="52"/>
        <v>0</v>
      </c>
      <c r="H41" s="823">
        <f t="shared" si="52"/>
        <v>0</v>
      </c>
      <c r="I41" s="823">
        <f t="shared" si="52"/>
        <v>0</v>
      </c>
      <c r="J41" s="823">
        <f t="shared" si="52"/>
        <v>0</v>
      </c>
      <c r="K41" s="823">
        <f t="shared" si="52"/>
        <v>0</v>
      </c>
      <c r="L41" s="823">
        <f t="shared" si="52"/>
        <v>0</v>
      </c>
      <c r="M41" s="823">
        <f t="shared" si="52"/>
        <v>0</v>
      </c>
      <c r="N41" s="823">
        <f t="shared" si="52"/>
        <v>0</v>
      </c>
      <c r="O41" s="823">
        <f t="shared" si="52"/>
        <v>0</v>
      </c>
      <c r="P41" s="823">
        <f t="shared" si="52"/>
        <v>0</v>
      </c>
      <c r="Q41" s="823">
        <f t="shared" si="52"/>
        <v>0</v>
      </c>
      <c r="R41" s="823">
        <f t="shared" si="52"/>
        <v>0</v>
      </c>
      <c r="S41" s="823">
        <f t="shared" si="52"/>
        <v>0</v>
      </c>
      <c r="T41" s="823">
        <f t="shared" si="52"/>
        <v>0</v>
      </c>
      <c r="U41" s="823">
        <f t="shared" si="52"/>
        <v>0</v>
      </c>
      <c r="V41" s="823">
        <f t="shared" si="52"/>
        <v>0</v>
      </c>
      <c r="W41" s="823">
        <f t="shared" si="52"/>
        <v>0</v>
      </c>
      <c r="X41" s="823">
        <f t="shared" si="52"/>
        <v>0</v>
      </c>
      <c r="Y41" s="823">
        <f t="shared" si="52"/>
        <v>0</v>
      </c>
      <c r="Z41" s="823">
        <f t="shared" si="52"/>
        <v>0</v>
      </c>
      <c r="AA41" s="823">
        <f t="shared" si="52"/>
        <v>0</v>
      </c>
      <c r="AB41" s="823">
        <f t="shared" si="52"/>
        <v>0</v>
      </c>
      <c r="AC41" s="823">
        <f t="shared" si="52"/>
        <v>0</v>
      </c>
      <c r="AD41" s="823">
        <f t="shared" si="52"/>
        <v>0</v>
      </c>
      <c r="AE41" s="823">
        <f t="shared" si="52"/>
        <v>0</v>
      </c>
      <c r="AF41" s="823">
        <f t="shared" si="52"/>
        <v>0</v>
      </c>
      <c r="AG41" s="823">
        <f t="shared" si="52"/>
        <v>0</v>
      </c>
      <c r="AH41" s="823">
        <f t="shared" si="52"/>
        <v>0</v>
      </c>
      <c r="AI41" s="823">
        <f t="shared" si="52"/>
        <v>0</v>
      </c>
      <c r="AJ41" s="823">
        <f t="shared" si="52"/>
        <v>0</v>
      </c>
      <c r="AK41" s="823">
        <f t="shared" si="52"/>
        <v>0</v>
      </c>
      <c r="AL41" s="823">
        <f t="shared" si="52"/>
        <v>0</v>
      </c>
      <c r="AM41" s="823">
        <f t="shared" si="52"/>
        <v>0</v>
      </c>
      <c r="AN41" s="823">
        <f t="shared" si="52"/>
        <v>0</v>
      </c>
      <c r="AO41" s="823">
        <f t="shared" si="52"/>
        <v>0</v>
      </c>
      <c r="AP41" s="823">
        <f t="shared" si="52"/>
        <v>0</v>
      </c>
      <c r="AQ41" s="823">
        <f t="shared" si="52"/>
        <v>0</v>
      </c>
      <c r="AR41" s="823">
        <f t="shared" si="52"/>
        <v>0</v>
      </c>
      <c r="AS41" s="823">
        <f t="shared" si="52"/>
        <v>0</v>
      </c>
      <c r="AT41" s="823">
        <f t="shared" si="52"/>
        <v>0</v>
      </c>
      <c r="AU41" s="823">
        <f t="shared" si="52"/>
        <v>0</v>
      </c>
      <c r="AV41" s="823">
        <f t="shared" si="52"/>
        <v>0</v>
      </c>
      <c r="AW41" s="823">
        <f t="shared" si="52"/>
        <v>0</v>
      </c>
      <c r="AX41" s="823">
        <f t="shared" si="52"/>
        <v>0</v>
      </c>
      <c r="AY41" s="823">
        <f t="shared" si="52"/>
        <v>0</v>
      </c>
      <c r="AZ41" s="823">
        <f t="shared" si="52"/>
        <v>0</v>
      </c>
      <c r="BA41" s="823">
        <f t="shared" si="52"/>
        <v>0</v>
      </c>
      <c r="BB41" s="823">
        <f t="shared" si="52"/>
        <v>0</v>
      </c>
      <c r="BC41" s="823">
        <f t="shared" si="52"/>
        <v>0</v>
      </c>
      <c r="BD41" s="823">
        <f t="shared" si="52"/>
        <v>0</v>
      </c>
      <c r="BE41" s="823">
        <f t="shared" si="52"/>
        <v>0</v>
      </c>
      <c r="BF41" s="823">
        <f t="shared" si="52"/>
        <v>0</v>
      </c>
      <c r="BG41" s="823">
        <f t="shared" si="52"/>
        <v>0</v>
      </c>
      <c r="BH41" s="823">
        <f t="shared" si="52"/>
        <v>0</v>
      </c>
      <c r="BI41" s="823">
        <f t="shared" si="52"/>
        <v>0</v>
      </c>
      <c r="BJ41" s="823">
        <f t="shared" si="52"/>
        <v>0</v>
      </c>
      <c r="BK41" s="823">
        <f t="shared" si="52"/>
        <v>0</v>
      </c>
      <c r="BL41" s="823">
        <f t="shared" si="52"/>
        <v>0</v>
      </c>
      <c r="BM41" s="823">
        <f t="shared" si="52"/>
        <v>0</v>
      </c>
      <c r="BN41" s="823">
        <f t="shared" ref="BN41:ED41" si="53">SUM(BN42:BN42)</f>
        <v>0</v>
      </c>
      <c r="BO41" s="823">
        <f t="shared" si="53"/>
        <v>0</v>
      </c>
      <c r="BP41" s="823">
        <f t="shared" si="53"/>
        <v>0</v>
      </c>
      <c r="BQ41" s="823">
        <f t="shared" si="53"/>
        <v>0</v>
      </c>
      <c r="BR41" s="823">
        <f t="shared" si="53"/>
        <v>0</v>
      </c>
      <c r="BS41" s="823">
        <f t="shared" si="53"/>
        <v>0</v>
      </c>
      <c r="BT41" s="823">
        <f t="shared" si="53"/>
        <v>0</v>
      </c>
      <c r="BU41" s="823">
        <f t="shared" si="53"/>
        <v>0</v>
      </c>
      <c r="BV41" s="823">
        <f t="shared" si="53"/>
        <v>0</v>
      </c>
      <c r="BW41" s="823">
        <f t="shared" si="53"/>
        <v>0</v>
      </c>
      <c r="BX41" s="823">
        <f t="shared" si="53"/>
        <v>0</v>
      </c>
      <c r="BY41" s="823">
        <f t="shared" si="53"/>
        <v>0</v>
      </c>
      <c r="BZ41" s="823">
        <f t="shared" si="53"/>
        <v>0</v>
      </c>
      <c r="CA41" s="823">
        <f t="shared" si="53"/>
        <v>0</v>
      </c>
      <c r="CB41" s="823">
        <f t="shared" si="53"/>
        <v>0</v>
      </c>
      <c r="CC41" s="823">
        <f t="shared" si="53"/>
        <v>0</v>
      </c>
      <c r="CD41" s="823">
        <f t="shared" si="53"/>
        <v>0</v>
      </c>
      <c r="CE41" s="823">
        <f t="shared" si="53"/>
        <v>0</v>
      </c>
      <c r="CF41" s="823">
        <f t="shared" si="53"/>
        <v>0</v>
      </c>
      <c r="CG41" s="823">
        <f t="shared" si="53"/>
        <v>0</v>
      </c>
      <c r="CH41" s="823">
        <f t="shared" si="53"/>
        <v>0</v>
      </c>
      <c r="CI41" s="823">
        <f t="shared" si="53"/>
        <v>0</v>
      </c>
      <c r="CJ41" s="823">
        <f t="shared" si="53"/>
        <v>0</v>
      </c>
      <c r="CK41" s="823">
        <f t="shared" si="53"/>
        <v>0</v>
      </c>
      <c r="CL41" s="823">
        <f t="shared" si="53"/>
        <v>0</v>
      </c>
      <c r="CM41" s="823">
        <f t="shared" si="53"/>
        <v>157323818</v>
      </c>
      <c r="CN41" s="823">
        <f t="shared" si="53"/>
        <v>7323818</v>
      </c>
      <c r="CO41" s="823">
        <f t="shared" si="53"/>
        <v>7323818</v>
      </c>
      <c r="CP41" s="823">
        <f t="shared" si="53"/>
        <v>7323818</v>
      </c>
      <c r="CQ41" s="823">
        <f t="shared" si="53"/>
        <v>0</v>
      </c>
      <c r="CR41" s="823">
        <f t="shared" si="53"/>
        <v>0</v>
      </c>
      <c r="CS41" s="823">
        <f t="shared" si="53"/>
        <v>0</v>
      </c>
      <c r="CT41" s="823">
        <f t="shared" si="53"/>
        <v>0</v>
      </c>
      <c r="CU41" s="823">
        <f t="shared" si="53"/>
        <v>0</v>
      </c>
      <c r="CV41" s="823">
        <f t="shared" si="53"/>
        <v>0</v>
      </c>
      <c r="CW41" s="823">
        <f t="shared" si="53"/>
        <v>0</v>
      </c>
      <c r="CX41" s="823">
        <f t="shared" si="53"/>
        <v>0</v>
      </c>
      <c r="CY41" s="823">
        <f t="shared" si="53"/>
        <v>0</v>
      </c>
      <c r="CZ41" s="823">
        <f t="shared" si="53"/>
        <v>0</v>
      </c>
      <c r="DA41" s="823">
        <f t="shared" si="53"/>
        <v>0</v>
      </c>
      <c r="DB41" s="823">
        <f t="shared" si="53"/>
        <v>0</v>
      </c>
      <c r="DC41" s="823">
        <f t="shared" si="53"/>
        <v>0</v>
      </c>
      <c r="DD41" s="823">
        <f t="shared" si="53"/>
        <v>0</v>
      </c>
      <c r="DE41" s="823">
        <f t="shared" si="53"/>
        <v>0</v>
      </c>
      <c r="DF41" s="823">
        <f t="shared" si="53"/>
        <v>0</v>
      </c>
      <c r="DG41" s="823">
        <f t="shared" si="53"/>
        <v>0</v>
      </c>
      <c r="DH41" s="823">
        <f t="shared" si="53"/>
        <v>0</v>
      </c>
      <c r="DI41" s="823">
        <f t="shared" si="53"/>
        <v>0</v>
      </c>
      <c r="DJ41" s="823">
        <f t="shared" si="53"/>
        <v>0</v>
      </c>
      <c r="DK41" s="823">
        <f t="shared" si="53"/>
        <v>0</v>
      </c>
      <c r="DL41" s="823">
        <f t="shared" si="53"/>
        <v>0</v>
      </c>
      <c r="DM41" s="823">
        <f t="shared" si="53"/>
        <v>0</v>
      </c>
      <c r="DN41" s="823">
        <f>SUM(DN42:DN42)</f>
        <v>0</v>
      </c>
      <c r="DO41" s="823">
        <f>+DO42</f>
        <v>82676182</v>
      </c>
      <c r="DP41" s="823">
        <f>+DP42</f>
        <v>82676182</v>
      </c>
      <c r="DQ41" s="823">
        <f>+DQ42</f>
        <v>82676182</v>
      </c>
      <c r="DR41" s="823">
        <f>+DR42</f>
        <v>82676182</v>
      </c>
      <c r="DS41" s="823">
        <f t="shared" si="53"/>
        <v>0</v>
      </c>
      <c r="DT41" s="823">
        <f t="shared" si="53"/>
        <v>0</v>
      </c>
      <c r="DU41" s="823">
        <f t="shared" si="53"/>
        <v>0</v>
      </c>
      <c r="DV41" s="823">
        <f t="shared" si="53"/>
        <v>0</v>
      </c>
      <c r="DW41" s="823">
        <f t="shared" si="53"/>
        <v>0</v>
      </c>
      <c r="DX41" s="823">
        <f t="shared" si="53"/>
        <v>0</v>
      </c>
      <c r="DY41" s="823">
        <f t="shared" si="53"/>
        <v>0</v>
      </c>
      <c r="DZ41" s="823">
        <f t="shared" si="53"/>
        <v>0</v>
      </c>
      <c r="EA41" s="823">
        <f t="shared" si="53"/>
        <v>0</v>
      </c>
      <c r="EB41" s="823">
        <f t="shared" si="53"/>
        <v>0</v>
      </c>
      <c r="EC41" s="823">
        <f t="shared" si="53"/>
        <v>0</v>
      </c>
      <c r="ED41" s="823">
        <f t="shared" si="53"/>
        <v>0</v>
      </c>
      <c r="EE41" s="810">
        <f>+C41+G41+K41+O41+S41+W41+AA41+AE41+AI41+AM41+AQ41+AU41+AY41+BC41+BG41+BK41+BO41+BS41+BW41+CA41+CE41+CI41+CM41+CQ41+CU41+CY41+DC41+DG41+DK41+DO41+EA41+DS41+DW41</f>
        <v>240000000</v>
      </c>
      <c r="EF41" s="810">
        <f>+D41+H41+L41+P41+T41+X41+AB41+AF41+AJ41+AN41+AR41+AV41+AZ41+BD41+BH41+BL41+BP41+BT41+BX41+CB41+CF41+CJ41+CN41+CR41+CV41+CZ41+DD41+DH41+DL41+DP41+EB41+DT41+DX41</f>
        <v>90000000</v>
      </c>
      <c r="EG41" s="810">
        <f>+E41+I41+M41+Q41+U41+Y41+AC41+AG41+AK41+AO41+AS41+AW41+BA41+BE41+BI41+BM41+BQ41+BU41+BY41+CC41+CG41+CK41+CO41+CS41+CW41+DA41+DE41+DI41+DM41+DQ41+EC41+DU41+DY41</f>
        <v>90000000</v>
      </c>
      <c r="EH41" s="810">
        <f>+F41+J41+N41+R41+V41+Z41+AD41+AH41+AL41+AP41+AT41+AX41+BB41+BF41+BJ41+BN41+BR41+BV41+BZ41+CD41+CH41+CL41+CP41+CT41+CX41+DB41+DF41+DJ41+DN41+DR41+ED41+DV41+DZ41</f>
        <v>90000000</v>
      </c>
      <c r="EI41" s="824">
        <f t="shared" si="4"/>
        <v>0</v>
      </c>
      <c r="EJ41" s="838"/>
      <c r="EK41" s="813"/>
    </row>
    <row r="42" spans="1:141" ht="27" thickTop="1" thickBot="1" x14ac:dyDescent="0.3">
      <c r="A42" s="825" t="s">
        <v>1556</v>
      </c>
      <c r="B42" s="826">
        <f>+'Anexo 5.2. informe Gastos'!I124</f>
        <v>240000000</v>
      </c>
      <c r="C42" s="827"/>
      <c r="D42" s="827"/>
      <c r="E42" s="827"/>
      <c r="F42" s="827"/>
      <c r="G42" s="827"/>
      <c r="H42" s="827"/>
      <c r="I42" s="827"/>
      <c r="J42" s="827"/>
      <c r="K42" s="827"/>
      <c r="L42" s="827"/>
      <c r="M42" s="827"/>
      <c r="N42" s="827"/>
      <c r="O42" s="828"/>
      <c r="P42" s="828"/>
      <c r="Q42" s="827"/>
      <c r="R42" s="828"/>
      <c r="S42" s="828"/>
      <c r="T42" s="828"/>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7"/>
      <c r="BJ42" s="827"/>
      <c r="BK42" s="827"/>
      <c r="BL42" s="827"/>
      <c r="BM42" s="827"/>
      <c r="BN42" s="827"/>
      <c r="BO42" s="827"/>
      <c r="BP42" s="827"/>
      <c r="BQ42" s="827"/>
      <c r="BR42" s="827"/>
      <c r="BS42" s="827"/>
      <c r="BT42" s="827"/>
      <c r="BU42" s="827"/>
      <c r="BV42" s="827"/>
      <c r="BW42" s="827"/>
      <c r="BX42" s="827"/>
      <c r="BY42" s="827"/>
      <c r="BZ42" s="827"/>
      <c r="CA42" s="827"/>
      <c r="CB42" s="827"/>
      <c r="CC42" s="827"/>
      <c r="CD42" s="827"/>
      <c r="CE42" s="827"/>
      <c r="CF42" s="827"/>
      <c r="CG42" s="827"/>
      <c r="CH42" s="827"/>
      <c r="CI42" s="827"/>
      <c r="CJ42" s="827"/>
      <c r="CK42" s="827"/>
      <c r="CL42" s="827"/>
      <c r="CM42" s="834">
        <f>150000000+7323818</f>
        <v>157323818</v>
      </c>
      <c r="CN42" s="836">
        <v>7323818</v>
      </c>
      <c r="CO42" s="836">
        <v>7323818</v>
      </c>
      <c r="CP42" s="836">
        <v>7323818</v>
      </c>
      <c r="CQ42" s="829"/>
      <c r="CR42" s="836"/>
      <c r="CS42" s="836"/>
      <c r="CT42" s="836"/>
      <c r="CU42" s="829"/>
      <c r="CV42" s="836"/>
      <c r="CW42" s="836"/>
      <c r="CX42" s="836"/>
      <c r="CY42" s="829"/>
      <c r="CZ42" s="836"/>
      <c r="DA42" s="836"/>
      <c r="DB42" s="836"/>
      <c r="DC42" s="829"/>
      <c r="DD42" s="836"/>
      <c r="DE42" s="836"/>
      <c r="DF42" s="836"/>
      <c r="DG42" s="829"/>
      <c r="DH42" s="836"/>
      <c r="DI42" s="836"/>
      <c r="DJ42" s="836"/>
      <c r="DK42" s="829"/>
      <c r="DL42" s="836"/>
      <c r="DM42" s="836"/>
      <c r="DN42" s="836"/>
      <c r="DO42" s="826">
        <v>82676182</v>
      </c>
      <c r="DP42" s="836">
        <v>82676182</v>
      </c>
      <c r="DQ42" s="836">
        <v>82676182</v>
      </c>
      <c r="DR42" s="836">
        <v>82676182</v>
      </c>
      <c r="DS42" s="829"/>
      <c r="DT42" s="829"/>
      <c r="DU42" s="831"/>
      <c r="DV42" s="831"/>
      <c r="DW42" s="829"/>
      <c r="DX42" s="829"/>
      <c r="DY42" s="831"/>
      <c r="DZ42" s="831"/>
      <c r="EA42" s="828"/>
      <c r="EB42" s="828"/>
      <c r="EC42" s="827"/>
      <c r="ED42" s="827"/>
      <c r="EE42" s="832">
        <f t="shared" ref="EE42:EH42" si="54">+C42+G42+K42+O42+S42+W42+AA42+AE42+AI42+AM42+AQ42+AU42+AY42+BC42+BG42+BK42+BO42+BS42+BW42+CA42+CE42+CI42+CM42+CQ42+CU42+CY42+DC42+DG42+DK42+DO42+EA42+DS42+DW42</f>
        <v>240000000</v>
      </c>
      <c r="EF42" s="832">
        <f t="shared" si="54"/>
        <v>90000000</v>
      </c>
      <c r="EG42" s="832">
        <f t="shared" si="54"/>
        <v>90000000</v>
      </c>
      <c r="EH42" s="832">
        <f t="shared" si="54"/>
        <v>90000000</v>
      </c>
      <c r="EI42" s="725">
        <f t="shared" si="4"/>
        <v>0</v>
      </c>
      <c r="EJ42" s="838"/>
      <c r="EK42" s="813"/>
    </row>
    <row r="43" spans="1:141" s="850" customFormat="1" ht="54.75" customHeight="1" thickTop="1" thickBot="1" x14ac:dyDescent="0.3">
      <c r="A43" s="822" t="s">
        <v>2589</v>
      </c>
      <c r="B43" s="902">
        <f>+B44</f>
        <v>9067542770</v>
      </c>
      <c r="C43" s="848">
        <f>+C44</f>
        <v>0</v>
      </c>
      <c r="D43" s="848">
        <f t="shared" ref="D43:BO43" si="55">+D44</f>
        <v>0</v>
      </c>
      <c r="E43" s="848">
        <f t="shared" si="55"/>
        <v>0</v>
      </c>
      <c r="F43" s="848">
        <f t="shared" si="55"/>
        <v>0</v>
      </c>
      <c r="G43" s="848">
        <f t="shared" si="55"/>
        <v>0</v>
      </c>
      <c r="H43" s="848">
        <f t="shared" si="55"/>
        <v>0</v>
      </c>
      <c r="I43" s="848">
        <f t="shared" si="55"/>
        <v>0</v>
      </c>
      <c r="J43" s="848">
        <f t="shared" si="55"/>
        <v>0</v>
      </c>
      <c r="K43" s="848">
        <f t="shared" si="55"/>
        <v>0</v>
      </c>
      <c r="L43" s="848">
        <f t="shared" si="55"/>
        <v>0</v>
      </c>
      <c r="M43" s="848">
        <f t="shared" si="55"/>
        <v>0</v>
      </c>
      <c r="N43" s="848">
        <f t="shared" si="55"/>
        <v>0</v>
      </c>
      <c r="O43" s="848">
        <f t="shared" si="55"/>
        <v>0</v>
      </c>
      <c r="P43" s="848">
        <f t="shared" si="55"/>
        <v>0</v>
      </c>
      <c r="Q43" s="848">
        <f t="shared" si="55"/>
        <v>0</v>
      </c>
      <c r="R43" s="848">
        <f t="shared" si="55"/>
        <v>0</v>
      </c>
      <c r="S43" s="848">
        <f t="shared" si="55"/>
        <v>0</v>
      </c>
      <c r="T43" s="848">
        <f t="shared" si="55"/>
        <v>0</v>
      </c>
      <c r="U43" s="848">
        <f t="shared" si="55"/>
        <v>0</v>
      </c>
      <c r="V43" s="848">
        <f t="shared" si="55"/>
        <v>0</v>
      </c>
      <c r="W43" s="848">
        <f t="shared" si="55"/>
        <v>0</v>
      </c>
      <c r="X43" s="848">
        <f t="shared" si="55"/>
        <v>0</v>
      </c>
      <c r="Y43" s="848">
        <f t="shared" si="55"/>
        <v>0</v>
      </c>
      <c r="Z43" s="848">
        <f t="shared" si="55"/>
        <v>0</v>
      </c>
      <c r="AA43" s="848">
        <f t="shared" si="55"/>
        <v>0</v>
      </c>
      <c r="AB43" s="848">
        <f t="shared" si="55"/>
        <v>0</v>
      </c>
      <c r="AC43" s="848">
        <f t="shared" si="55"/>
        <v>0</v>
      </c>
      <c r="AD43" s="848">
        <f t="shared" si="55"/>
        <v>0</v>
      </c>
      <c r="AE43" s="848">
        <f t="shared" si="55"/>
        <v>0</v>
      </c>
      <c r="AF43" s="848">
        <f t="shared" si="55"/>
        <v>0</v>
      </c>
      <c r="AG43" s="848">
        <f t="shared" si="55"/>
        <v>0</v>
      </c>
      <c r="AH43" s="848">
        <f t="shared" si="55"/>
        <v>0</v>
      </c>
      <c r="AI43" s="848">
        <f t="shared" si="55"/>
        <v>0</v>
      </c>
      <c r="AJ43" s="848">
        <f t="shared" si="55"/>
        <v>0</v>
      </c>
      <c r="AK43" s="848">
        <f t="shared" si="55"/>
        <v>0</v>
      </c>
      <c r="AL43" s="848">
        <f t="shared" si="55"/>
        <v>0</v>
      </c>
      <c r="AM43" s="848">
        <f t="shared" si="55"/>
        <v>0</v>
      </c>
      <c r="AN43" s="848">
        <f t="shared" si="55"/>
        <v>0</v>
      </c>
      <c r="AO43" s="848">
        <f t="shared" si="55"/>
        <v>0</v>
      </c>
      <c r="AP43" s="848">
        <f t="shared" si="55"/>
        <v>0</v>
      </c>
      <c r="AQ43" s="848">
        <f t="shared" si="55"/>
        <v>0</v>
      </c>
      <c r="AR43" s="848">
        <f t="shared" si="55"/>
        <v>0</v>
      </c>
      <c r="AS43" s="848">
        <f t="shared" si="55"/>
        <v>0</v>
      </c>
      <c r="AT43" s="848">
        <f t="shared" si="55"/>
        <v>0</v>
      </c>
      <c r="AU43" s="848">
        <f t="shared" si="55"/>
        <v>0</v>
      </c>
      <c r="AV43" s="848">
        <f t="shared" si="55"/>
        <v>0</v>
      </c>
      <c r="AW43" s="848">
        <f t="shared" si="55"/>
        <v>0</v>
      </c>
      <c r="AX43" s="848">
        <f t="shared" si="55"/>
        <v>0</v>
      </c>
      <c r="AY43" s="848">
        <f t="shared" si="55"/>
        <v>0</v>
      </c>
      <c r="AZ43" s="848">
        <f t="shared" si="55"/>
        <v>0</v>
      </c>
      <c r="BA43" s="848">
        <f t="shared" si="55"/>
        <v>0</v>
      </c>
      <c r="BB43" s="848">
        <f t="shared" si="55"/>
        <v>0</v>
      </c>
      <c r="BC43" s="848">
        <f t="shared" si="55"/>
        <v>0</v>
      </c>
      <c r="BD43" s="848">
        <f t="shared" si="55"/>
        <v>0</v>
      </c>
      <c r="BE43" s="848">
        <f t="shared" si="55"/>
        <v>0</v>
      </c>
      <c r="BF43" s="848">
        <f t="shared" si="55"/>
        <v>0</v>
      </c>
      <c r="BG43" s="848">
        <f t="shared" si="55"/>
        <v>0</v>
      </c>
      <c r="BH43" s="848">
        <f t="shared" si="55"/>
        <v>0</v>
      </c>
      <c r="BI43" s="848">
        <f t="shared" si="55"/>
        <v>0</v>
      </c>
      <c r="BJ43" s="848">
        <f t="shared" si="55"/>
        <v>0</v>
      </c>
      <c r="BK43" s="848">
        <f t="shared" si="55"/>
        <v>0</v>
      </c>
      <c r="BL43" s="848">
        <f t="shared" si="55"/>
        <v>0</v>
      </c>
      <c r="BM43" s="848">
        <f t="shared" si="55"/>
        <v>0</v>
      </c>
      <c r="BN43" s="848">
        <f t="shared" si="55"/>
        <v>0</v>
      </c>
      <c r="BO43" s="848">
        <f t="shared" si="55"/>
        <v>0</v>
      </c>
      <c r="BP43" s="848">
        <f t="shared" ref="BP43:EA43" si="56">+BP44</f>
        <v>0</v>
      </c>
      <c r="BQ43" s="848">
        <f t="shared" si="56"/>
        <v>0</v>
      </c>
      <c r="BR43" s="848">
        <f t="shared" si="56"/>
        <v>0</v>
      </c>
      <c r="BS43" s="848">
        <f t="shared" si="56"/>
        <v>0</v>
      </c>
      <c r="BT43" s="848">
        <f t="shared" si="56"/>
        <v>0</v>
      </c>
      <c r="BU43" s="848">
        <f t="shared" si="56"/>
        <v>0</v>
      </c>
      <c r="BV43" s="848">
        <f t="shared" si="56"/>
        <v>0</v>
      </c>
      <c r="BW43" s="848">
        <f t="shared" si="56"/>
        <v>0</v>
      </c>
      <c r="BX43" s="848">
        <f t="shared" si="56"/>
        <v>0</v>
      </c>
      <c r="BY43" s="848">
        <f t="shared" si="56"/>
        <v>0</v>
      </c>
      <c r="BZ43" s="848">
        <f t="shared" si="56"/>
        <v>0</v>
      </c>
      <c r="CA43" s="848">
        <f t="shared" si="56"/>
        <v>0</v>
      </c>
      <c r="CB43" s="848">
        <f t="shared" si="56"/>
        <v>0</v>
      </c>
      <c r="CC43" s="848">
        <f t="shared" si="56"/>
        <v>0</v>
      </c>
      <c r="CD43" s="848">
        <f t="shared" si="56"/>
        <v>0</v>
      </c>
      <c r="CE43" s="848">
        <f t="shared" si="56"/>
        <v>0</v>
      </c>
      <c r="CF43" s="848">
        <f t="shared" si="56"/>
        <v>0</v>
      </c>
      <c r="CG43" s="848">
        <f t="shared" si="56"/>
        <v>0</v>
      </c>
      <c r="CH43" s="848">
        <f t="shared" si="56"/>
        <v>0</v>
      </c>
      <c r="CI43" s="848">
        <f t="shared" si="56"/>
        <v>0</v>
      </c>
      <c r="CJ43" s="848">
        <f t="shared" si="56"/>
        <v>0</v>
      </c>
      <c r="CK43" s="848">
        <f t="shared" si="56"/>
        <v>0</v>
      </c>
      <c r="CL43" s="848">
        <f t="shared" si="56"/>
        <v>0</v>
      </c>
      <c r="CM43" s="848">
        <f t="shared" si="56"/>
        <v>0</v>
      </c>
      <c r="CN43" s="848">
        <f t="shared" si="56"/>
        <v>0</v>
      </c>
      <c r="CO43" s="848">
        <f t="shared" si="56"/>
        <v>0</v>
      </c>
      <c r="CP43" s="848">
        <f t="shared" si="56"/>
        <v>0</v>
      </c>
      <c r="CQ43" s="848">
        <f t="shared" si="56"/>
        <v>0</v>
      </c>
      <c r="CR43" s="848">
        <f t="shared" si="56"/>
        <v>0</v>
      </c>
      <c r="CS43" s="848">
        <f t="shared" si="56"/>
        <v>0</v>
      </c>
      <c r="CT43" s="848">
        <f t="shared" si="56"/>
        <v>0</v>
      </c>
      <c r="CU43" s="848">
        <f t="shared" si="56"/>
        <v>0</v>
      </c>
      <c r="CV43" s="848">
        <f t="shared" si="56"/>
        <v>0</v>
      </c>
      <c r="CW43" s="848">
        <f t="shared" si="56"/>
        <v>0</v>
      </c>
      <c r="CX43" s="848">
        <f t="shared" si="56"/>
        <v>0</v>
      </c>
      <c r="CY43" s="848">
        <f t="shared" si="56"/>
        <v>0</v>
      </c>
      <c r="CZ43" s="848">
        <f t="shared" si="56"/>
        <v>0</v>
      </c>
      <c r="DA43" s="848">
        <f t="shared" si="56"/>
        <v>0</v>
      </c>
      <c r="DB43" s="848">
        <f t="shared" si="56"/>
        <v>0</v>
      </c>
      <c r="DC43" s="848">
        <f t="shared" si="56"/>
        <v>0</v>
      </c>
      <c r="DD43" s="848">
        <f t="shared" si="56"/>
        <v>0</v>
      </c>
      <c r="DE43" s="848">
        <f t="shared" si="56"/>
        <v>0</v>
      </c>
      <c r="DF43" s="848">
        <f t="shared" si="56"/>
        <v>0</v>
      </c>
      <c r="DG43" s="848">
        <f t="shared" si="56"/>
        <v>0</v>
      </c>
      <c r="DH43" s="848">
        <f t="shared" si="56"/>
        <v>0</v>
      </c>
      <c r="DI43" s="848">
        <f t="shared" si="56"/>
        <v>0</v>
      </c>
      <c r="DJ43" s="848">
        <f t="shared" si="56"/>
        <v>0</v>
      </c>
      <c r="DK43" s="848">
        <f t="shared" si="56"/>
        <v>0</v>
      </c>
      <c r="DL43" s="848">
        <f t="shared" si="56"/>
        <v>0</v>
      </c>
      <c r="DM43" s="848">
        <f t="shared" si="56"/>
        <v>0</v>
      </c>
      <c r="DN43" s="848">
        <f t="shared" si="56"/>
        <v>0</v>
      </c>
      <c r="DO43" s="848">
        <f t="shared" si="56"/>
        <v>9067542770</v>
      </c>
      <c r="DP43" s="848">
        <f t="shared" si="56"/>
        <v>9057327022</v>
      </c>
      <c r="DQ43" s="848">
        <f t="shared" si="56"/>
        <v>0</v>
      </c>
      <c r="DR43" s="848">
        <f t="shared" si="56"/>
        <v>0</v>
      </c>
      <c r="DS43" s="848">
        <f t="shared" si="56"/>
        <v>0</v>
      </c>
      <c r="DT43" s="848">
        <f t="shared" si="56"/>
        <v>0</v>
      </c>
      <c r="DU43" s="848">
        <f t="shared" si="56"/>
        <v>0</v>
      </c>
      <c r="DV43" s="848">
        <f t="shared" si="56"/>
        <v>0</v>
      </c>
      <c r="DW43" s="848">
        <f t="shared" si="56"/>
        <v>0</v>
      </c>
      <c r="DX43" s="848">
        <f t="shared" si="56"/>
        <v>0</v>
      </c>
      <c r="DY43" s="848">
        <f t="shared" si="56"/>
        <v>0</v>
      </c>
      <c r="DZ43" s="848">
        <f t="shared" si="56"/>
        <v>0</v>
      </c>
      <c r="EA43" s="848">
        <f t="shared" si="56"/>
        <v>0</v>
      </c>
      <c r="EB43" s="848">
        <f t="shared" ref="EB43:ED43" si="57">+EB44</f>
        <v>0</v>
      </c>
      <c r="EC43" s="848">
        <f t="shared" si="57"/>
        <v>0</v>
      </c>
      <c r="ED43" s="848">
        <f t="shared" si="57"/>
        <v>0</v>
      </c>
      <c r="EE43" s="810">
        <f>+C43+G43+K43+O43+S43+W43+AA43+AE43+AI43+AM43+AQ43+AU43+AY43+BC43+BG43+BK43+BO43+BS43+BW43+CA43+CE43+CI43+CM43+CQ43+CU43+CY43+DC43+DG43+DK43+DO43+EA43+DS43+DW43</f>
        <v>9067542770</v>
      </c>
      <c r="EF43" s="810">
        <f>+D43+H43+L43+P43+T43+X43+AB43+AF43+AJ43+AN43+AR43+AV43+AZ43+BD43+BH43+BL43+BP43+BT43+BX43+CB43+CF43+CJ43+CN43+CR43+CV43+CZ43+DD43+DH43+DL43+DP43+EB43+DT43+DX43</f>
        <v>9057327022</v>
      </c>
      <c r="EG43" s="810">
        <f>+E43+I43+M43+Q43+U43+Y43+AC43+AG43+AK43+AO43+AS43+AW43+BA43+BE43+BI43+BM43+BQ43+BU43+BY43+CC43+CG43+CK43+CO43+CS43+CW43+DA43+DE43+DI43+DM43+DQ43+EC43+DU43+DY43</f>
        <v>0</v>
      </c>
      <c r="EH43" s="810">
        <f>+F43+J43+N43+R43+V43+Z43+AD43+AH43+AL43+AP43+AT43+AX43+BB43+BF43+BJ43+BN43+BR43+BV43+BZ43+CD43+CH43+CL43+CP43+CT43+CX43+DB43+DF43+DJ43+DN43+DR43+ED43+DV43+DZ43</f>
        <v>0</v>
      </c>
      <c r="EI43" s="849">
        <f t="shared" si="4"/>
        <v>0</v>
      </c>
      <c r="EK43" s="813"/>
    </row>
    <row r="44" spans="1:141" ht="39.75" thickTop="1" thickBot="1" x14ac:dyDescent="0.3">
      <c r="A44" s="903" t="s">
        <v>2586</v>
      </c>
      <c r="B44" s="826">
        <f>+'Anexo 5.2. informe Gastos'!M111</f>
        <v>9067542770</v>
      </c>
      <c r="C44" s="827"/>
      <c r="D44" s="827"/>
      <c r="E44" s="827"/>
      <c r="F44" s="827"/>
      <c r="G44" s="827"/>
      <c r="H44" s="827"/>
      <c r="I44" s="827"/>
      <c r="J44" s="827"/>
      <c r="K44" s="827"/>
      <c r="L44" s="827"/>
      <c r="M44" s="827"/>
      <c r="N44" s="827"/>
      <c r="O44" s="828"/>
      <c r="P44" s="828"/>
      <c r="Q44" s="827"/>
      <c r="R44" s="828"/>
      <c r="S44" s="828"/>
      <c r="T44" s="828"/>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7"/>
      <c r="BJ44" s="827"/>
      <c r="BK44" s="827"/>
      <c r="BL44" s="827"/>
      <c r="BM44" s="827"/>
      <c r="BN44" s="827"/>
      <c r="BO44" s="827"/>
      <c r="BP44" s="827"/>
      <c r="BQ44" s="827"/>
      <c r="BR44" s="827"/>
      <c r="BS44" s="827"/>
      <c r="BT44" s="827"/>
      <c r="BU44" s="827"/>
      <c r="BV44" s="827"/>
      <c r="BW44" s="827"/>
      <c r="BX44" s="827"/>
      <c r="BY44" s="827"/>
      <c r="BZ44" s="827"/>
      <c r="CA44" s="827"/>
      <c r="CB44" s="827"/>
      <c r="CC44" s="827"/>
      <c r="CD44" s="827"/>
      <c r="CE44" s="827"/>
      <c r="CF44" s="827"/>
      <c r="CG44" s="827"/>
      <c r="CH44" s="827"/>
      <c r="CI44" s="827"/>
      <c r="CJ44" s="827"/>
      <c r="CK44" s="827"/>
      <c r="CL44" s="827"/>
      <c r="CM44" s="834"/>
      <c r="CN44" s="836"/>
      <c r="CO44" s="836"/>
      <c r="CP44" s="836"/>
      <c r="CQ44" s="829"/>
      <c r="CR44" s="836"/>
      <c r="CS44" s="836"/>
      <c r="CT44" s="836"/>
      <c r="CU44" s="829"/>
      <c r="CV44" s="836"/>
      <c r="CW44" s="836"/>
      <c r="CX44" s="836"/>
      <c r="CY44" s="829"/>
      <c r="CZ44" s="836"/>
      <c r="DA44" s="836"/>
      <c r="DB44" s="836"/>
      <c r="DC44" s="829"/>
      <c r="DD44" s="836"/>
      <c r="DE44" s="836"/>
      <c r="DF44" s="836"/>
      <c r="DG44" s="829"/>
      <c r="DH44" s="836"/>
      <c r="DI44" s="836"/>
      <c r="DJ44" s="836"/>
      <c r="DK44" s="829"/>
      <c r="DL44" s="836"/>
      <c r="DM44" s="836"/>
      <c r="DN44" s="836"/>
      <c r="DO44" s="834">
        <v>9067542770</v>
      </c>
      <c r="DP44" s="836">
        <v>9057327022</v>
      </c>
      <c r="DQ44" s="836">
        <v>0</v>
      </c>
      <c r="DR44" s="836">
        <v>0</v>
      </c>
      <c r="DS44" s="829"/>
      <c r="DT44" s="829"/>
      <c r="DU44" s="831"/>
      <c r="DV44" s="831"/>
      <c r="DW44" s="829"/>
      <c r="DX44" s="829"/>
      <c r="DY44" s="831"/>
      <c r="DZ44" s="831"/>
      <c r="EA44" s="828"/>
      <c r="EB44" s="828"/>
      <c r="EC44" s="827"/>
      <c r="ED44" s="827"/>
      <c r="EE44" s="832">
        <f t="shared" ref="EE44:EH48" si="58">+C44+G44+K44+O44+S44+W44+AA44+AE44+AI44+AM44+AQ44+AU44+AY44+BC44+BG44+BK44+BO44+BS44+BW44+CA44+CE44+CI44+CM44+CQ44+CU44+CY44+DC44+DG44+DK44+DO44+EA44+DS44+DW44</f>
        <v>9067542770</v>
      </c>
      <c r="EF44" s="832">
        <f t="shared" si="58"/>
        <v>9057327022</v>
      </c>
      <c r="EG44" s="832">
        <f t="shared" si="58"/>
        <v>0</v>
      </c>
      <c r="EH44" s="832">
        <f t="shared" si="58"/>
        <v>0</v>
      </c>
      <c r="EI44" s="725">
        <f t="shared" si="4"/>
        <v>0</v>
      </c>
      <c r="EJ44" s="838"/>
      <c r="EK44" s="813"/>
    </row>
    <row r="45" spans="1:141" ht="28.5" customHeight="1" thickTop="1" thickBot="1" x14ac:dyDescent="0.3">
      <c r="A45" s="818" t="s">
        <v>1559</v>
      </c>
      <c r="B45" s="819">
        <f t="shared" ref="B45:BM45" si="59">+B46+B49</f>
        <v>10441786615</v>
      </c>
      <c r="C45" s="819">
        <f t="shared" si="59"/>
        <v>0</v>
      </c>
      <c r="D45" s="819">
        <f t="shared" si="59"/>
        <v>0</v>
      </c>
      <c r="E45" s="819">
        <f t="shared" si="59"/>
        <v>0</v>
      </c>
      <c r="F45" s="819">
        <f t="shared" si="59"/>
        <v>0</v>
      </c>
      <c r="G45" s="819">
        <f t="shared" si="59"/>
        <v>0</v>
      </c>
      <c r="H45" s="819">
        <f t="shared" si="59"/>
        <v>0</v>
      </c>
      <c r="I45" s="819">
        <f t="shared" si="59"/>
        <v>0</v>
      </c>
      <c r="J45" s="819">
        <f t="shared" si="59"/>
        <v>0</v>
      </c>
      <c r="K45" s="819">
        <f t="shared" si="59"/>
        <v>0</v>
      </c>
      <c r="L45" s="819">
        <f t="shared" si="59"/>
        <v>0</v>
      </c>
      <c r="M45" s="819">
        <f t="shared" si="59"/>
        <v>0</v>
      </c>
      <c r="N45" s="819">
        <f t="shared" si="59"/>
        <v>0</v>
      </c>
      <c r="O45" s="819">
        <f t="shared" si="59"/>
        <v>0</v>
      </c>
      <c r="P45" s="819">
        <f t="shared" si="59"/>
        <v>0</v>
      </c>
      <c r="Q45" s="819">
        <f t="shared" si="59"/>
        <v>0</v>
      </c>
      <c r="R45" s="819">
        <f t="shared" si="59"/>
        <v>0</v>
      </c>
      <c r="S45" s="819">
        <f t="shared" si="59"/>
        <v>31197109</v>
      </c>
      <c r="T45" s="819">
        <f t="shared" si="59"/>
        <v>0</v>
      </c>
      <c r="U45" s="819">
        <f t="shared" si="59"/>
        <v>0</v>
      </c>
      <c r="V45" s="819">
        <f t="shared" si="59"/>
        <v>0</v>
      </c>
      <c r="W45" s="819">
        <f t="shared" si="59"/>
        <v>0</v>
      </c>
      <c r="X45" s="819">
        <f t="shared" si="59"/>
        <v>0</v>
      </c>
      <c r="Y45" s="819">
        <f t="shared" si="59"/>
        <v>0</v>
      </c>
      <c r="Z45" s="819">
        <f t="shared" si="59"/>
        <v>0</v>
      </c>
      <c r="AA45" s="819">
        <f t="shared" si="59"/>
        <v>0</v>
      </c>
      <c r="AB45" s="819">
        <f t="shared" si="59"/>
        <v>0</v>
      </c>
      <c r="AC45" s="819">
        <f t="shared" si="59"/>
        <v>0</v>
      </c>
      <c r="AD45" s="819">
        <f t="shared" si="59"/>
        <v>0</v>
      </c>
      <c r="AE45" s="819">
        <f t="shared" si="59"/>
        <v>0</v>
      </c>
      <c r="AF45" s="819">
        <f t="shared" si="59"/>
        <v>0</v>
      </c>
      <c r="AG45" s="819">
        <f t="shared" si="59"/>
        <v>0</v>
      </c>
      <c r="AH45" s="819">
        <f t="shared" si="59"/>
        <v>0</v>
      </c>
      <c r="AI45" s="819">
        <f t="shared" si="59"/>
        <v>0</v>
      </c>
      <c r="AJ45" s="819">
        <f t="shared" si="59"/>
        <v>0</v>
      </c>
      <c r="AK45" s="819">
        <f t="shared" si="59"/>
        <v>0</v>
      </c>
      <c r="AL45" s="819">
        <f t="shared" si="59"/>
        <v>0</v>
      </c>
      <c r="AM45" s="819">
        <f t="shared" si="59"/>
        <v>0</v>
      </c>
      <c r="AN45" s="819">
        <f t="shared" si="59"/>
        <v>0</v>
      </c>
      <c r="AO45" s="819">
        <f t="shared" si="59"/>
        <v>0</v>
      </c>
      <c r="AP45" s="819">
        <f t="shared" si="59"/>
        <v>0</v>
      </c>
      <c r="AQ45" s="819">
        <f t="shared" si="59"/>
        <v>4081999680</v>
      </c>
      <c r="AR45" s="819">
        <f t="shared" si="59"/>
        <v>1296001584</v>
      </c>
      <c r="AS45" s="819">
        <f t="shared" si="59"/>
        <v>490280000</v>
      </c>
      <c r="AT45" s="819">
        <f t="shared" si="59"/>
        <v>490280000</v>
      </c>
      <c r="AU45" s="819">
        <f t="shared" si="59"/>
        <v>25196296</v>
      </c>
      <c r="AV45" s="819">
        <f t="shared" si="59"/>
        <v>0</v>
      </c>
      <c r="AW45" s="819">
        <f t="shared" si="59"/>
        <v>0</v>
      </c>
      <c r="AX45" s="819">
        <f t="shared" si="59"/>
        <v>0</v>
      </c>
      <c r="AY45" s="819">
        <f t="shared" si="59"/>
        <v>0</v>
      </c>
      <c r="AZ45" s="819">
        <f t="shared" si="59"/>
        <v>0</v>
      </c>
      <c r="BA45" s="819">
        <f t="shared" si="59"/>
        <v>0</v>
      </c>
      <c r="BB45" s="819">
        <f t="shared" si="59"/>
        <v>0</v>
      </c>
      <c r="BC45" s="819">
        <f t="shared" si="59"/>
        <v>0</v>
      </c>
      <c r="BD45" s="819">
        <f t="shared" si="59"/>
        <v>0</v>
      </c>
      <c r="BE45" s="819">
        <f t="shared" si="59"/>
        <v>0</v>
      </c>
      <c r="BF45" s="819">
        <f t="shared" si="59"/>
        <v>0</v>
      </c>
      <c r="BG45" s="819">
        <f t="shared" si="59"/>
        <v>0</v>
      </c>
      <c r="BH45" s="819">
        <f t="shared" si="59"/>
        <v>0</v>
      </c>
      <c r="BI45" s="819">
        <f t="shared" si="59"/>
        <v>0</v>
      </c>
      <c r="BJ45" s="819">
        <f t="shared" si="59"/>
        <v>0</v>
      </c>
      <c r="BK45" s="819">
        <f t="shared" si="59"/>
        <v>0</v>
      </c>
      <c r="BL45" s="819">
        <f t="shared" si="59"/>
        <v>0</v>
      </c>
      <c r="BM45" s="819">
        <f t="shared" si="59"/>
        <v>0</v>
      </c>
      <c r="BN45" s="819">
        <f t="shared" ref="BN45:ED45" si="60">+BN46+BN49</f>
        <v>0</v>
      </c>
      <c r="BO45" s="819">
        <f t="shared" si="60"/>
        <v>0</v>
      </c>
      <c r="BP45" s="819">
        <f t="shared" si="60"/>
        <v>0</v>
      </c>
      <c r="BQ45" s="819">
        <f t="shared" si="60"/>
        <v>0</v>
      </c>
      <c r="BR45" s="819">
        <f t="shared" si="60"/>
        <v>0</v>
      </c>
      <c r="BS45" s="819">
        <f t="shared" si="60"/>
        <v>0</v>
      </c>
      <c r="BT45" s="819">
        <f t="shared" si="60"/>
        <v>0</v>
      </c>
      <c r="BU45" s="819">
        <f t="shared" si="60"/>
        <v>0</v>
      </c>
      <c r="BV45" s="819">
        <f t="shared" si="60"/>
        <v>0</v>
      </c>
      <c r="BW45" s="819">
        <f t="shared" si="60"/>
        <v>0</v>
      </c>
      <c r="BX45" s="819">
        <f t="shared" si="60"/>
        <v>0</v>
      </c>
      <c r="BY45" s="819">
        <f t="shared" si="60"/>
        <v>0</v>
      </c>
      <c r="BZ45" s="819">
        <f t="shared" si="60"/>
        <v>0</v>
      </c>
      <c r="CA45" s="819">
        <f t="shared" si="60"/>
        <v>2602344269</v>
      </c>
      <c r="CB45" s="819">
        <f t="shared" si="60"/>
        <v>293700000</v>
      </c>
      <c r="CC45" s="819">
        <f t="shared" si="60"/>
        <v>293700000</v>
      </c>
      <c r="CD45" s="819">
        <f t="shared" si="60"/>
        <v>293700000</v>
      </c>
      <c r="CE45" s="819">
        <f t="shared" si="60"/>
        <v>2919817193</v>
      </c>
      <c r="CF45" s="819">
        <f t="shared" si="60"/>
        <v>891623003</v>
      </c>
      <c r="CG45" s="819">
        <f t="shared" si="60"/>
        <v>831623003</v>
      </c>
      <c r="CH45" s="819">
        <f t="shared" si="60"/>
        <v>831623003</v>
      </c>
      <c r="CI45" s="819">
        <f t="shared" si="60"/>
        <v>6452718</v>
      </c>
      <c r="CJ45" s="819">
        <f t="shared" si="60"/>
        <v>0</v>
      </c>
      <c r="CK45" s="819">
        <f t="shared" si="60"/>
        <v>0</v>
      </c>
      <c r="CL45" s="819">
        <f t="shared" si="60"/>
        <v>0</v>
      </c>
      <c r="CM45" s="819">
        <f t="shared" si="60"/>
        <v>774779350</v>
      </c>
      <c r="CN45" s="819">
        <f t="shared" si="60"/>
        <v>230000000</v>
      </c>
      <c r="CO45" s="819">
        <f t="shared" si="60"/>
        <v>115000000</v>
      </c>
      <c r="CP45" s="819">
        <f t="shared" si="60"/>
        <v>115000000</v>
      </c>
      <c r="CQ45" s="819">
        <f>+CQ46+CQ49</f>
        <v>0</v>
      </c>
      <c r="CR45" s="819">
        <f t="shared" si="60"/>
        <v>0</v>
      </c>
      <c r="CS45" s="819">
        <f t="shared" si="60"/>
        <v>0</v>
      </c>
      <c r="CT45" s="819">
        <f t="shared" si="60"/>
        <v>0</v>
      </c>
      <c r="CU45" s="819">
        <f t="shared" si="60"/>
        <v>0</v>
      </c>
      <c r="CV45" s="819">
        <f t="shared" si="60"/>
        <v>0</v>
      </c>
      <c r="CW45" s="819">
        <f t="shared" si="60"/>
        <v>0</v>
      </c>
      <c r="CX45" s="819">
        <f t="shared" si="60"/>
        <v>0</v>
      </c>
      <c r="CY45" s="819">
        <f t="shared" si="60"/>
        <v>0</v>
      </c>
      <c r="CZ45" s="819">
        <f t="shared" si="60"/>
        <v>0</v>
      </c>
      <c r="DA45" s="819">
        <f t="shared" si="60"/>
        <v>0</v>
      </c>
      <c r="DB45" s="819">
        <f t="shared" si="60"/>
        <v>0</v>
      </c>
      <c r="DC45" s="819">
        <f t="shared" si="60"/>
        <v>0</v>
      </c>
      <c r="DD45" s="819">
        <f t="shared" si="60"/>
        <v>0</v>
      </c>
      <c r="DE45" s="819">
        <f t="shared" si="60"/>
        <v>0</v>
      </c>
      <c r="DF45" s="819">
        <f t="shared" si="60"/>
        <v>0</v>
      </c>
      <c r="DG45" s="819">
        <f t="shared" si="60"/>
        <v>0</v>
      </c>
      <c r="DH45" s="819">
        <f t="shared" si="60"/>
        <v>0</v>
      </c>
      <c r="DI45" s="819">
        <f t="shared" si="60"/>
        <v>0</v>
      </c>
      <c r="DJ45" s="819">
        <f t="shared" si="60"/>
        <v>0</v>
      </c>
      <c r="DK45" s="819">
        <f t="shared" si="60"/>
        <v>0</v>
      </c>
      <c r="DL45" s="819">
        <f t="shared" si="60"/>
        <v>0</v>
      </c>
      <c r="DM45" s="819">
        <f t="shared" si="60"/>
        <v>0</v>
      </c>
      <c r="DN45" s="819">
        <f t="shared" si="60"/>
        <v>0</v>
      </c>
      <c r="DO45" s="819">
        <f t="shared" si="60"/>
        <v>0</v>
      </c>
      <c r="DP45" s="819">
        <f t="shared" si="60"/>
        <v>0</v>
      </c>
      <c r="DQ45" s="819">
        <f t="shared" si="60"/>
        <v>0</v>
      </c>
      <c r="DR45" s="819">
        <f t="shared" si="60"/>
        <v>0</v>
      </c>
      <c r="DS45" s="819">
        <f t="shared" si="60"/>
        <v>0</v>
      </c>
      <c r="DT45" s="819">
        <f t="shared" si="60"/>
        <v>0</v>
      </c>
      <c r="DU45" s="819">
        <f t="shared" si="60"/>
        <v>0</v>
      </c>
      <c r="DV45" s="819">
        <f t="shared" si="60"/>
        <v>0</v>
      </c>
      <c r="DW45" s="819">
        <f t="shared" si="60"/>
        <v>0</v>
      </c>
      <c r="DX45" s="819">
        <f t="shared" si="60"/>
        <v>0</v>
      </c>
      <c r="DY45" s="819">
        <f t="shared" si="60"/>
        <v>0</v>
      </c>
      <c r="DZ45" s="819">
        <f t="shared" si="60"/>
        <v>0</v>
      </c>
      <c r="EA45" s="819">
        <f t="shared" si="60"/>
        <v>0</v>
      </c>
      <c r="EB45" s="819">
        <f t="shared" si="60"/>
        <v>0</v>
      </c>
      <c r="EC45" s="819">
        <f t="shared" si="60"/>
        <v>0</v>
      </c>
      <c r="ED45" s="819">
        <f t="shared" si="60"/>
        <v>0</v>
      </c>
      <c r="EE45" s="820">
        <f t="shared" si="58"/>
        <v>10441786615</v>
      </c>
      <c r="EF45" s="820">
        <f t="shared" si="58"/>
        <v>2711324587</v>
      </c>
      <c r="EG45" s="820">
        <f t="shared" si="58"/>
        <v>1730603003</v>
      </c>
      <c r="EH45" s="820">
        <f t="shared" si="58"/>
        <v>1730603003</v>
      </c>
      <c r="EI45" s="821">
        <f t="shared" si="4"/>
        <v>0</v>
      </c>
      <c r="EK45" s="813"/>
    </row>
    <row r="46" spans="1:141" ht="16.5" thickTop="1" thickBot="1" x14ac:dyDescent="0.3">
      <c r="A46" s="822" t="s">
        <v>1560</v>
      </c>
      <c r="B46" s="823">
        <f t="shared" ref="B46:BM46" si="61">SUM(B47:B48)</f>
        <v>4651975326</v>
      </c>
      <c r="C46" s="823">
        <f t="shared" si="61"/>
        <v>0</v>
      </c>
      <c r="D46" s="823">
        <f t="shared" si="61"/>
        <v>0</v>
      </c>
      <c r="E46" s="823">
        <f t="shared" si="61"/>
        <v>0</v>
      </c>
      <c r="F46" s="823">
        <f t="shared" si="61"/>
        <v>0</v>
      </c>
      <c r="G46" s="823">
        <f t="shared" si="61"/>
        <v>0</v>
      </c>
      <c r="H46" s="823">
        <f t="shared" si="61"/>
        <v>0</v>
      </c>
      <c r="I46" s="823">
        <f t="shared" si="61"/>
        <v>0</v>
      </c>
      <c r="J46" s="823">
        <f t="shared" si="61"/>
        <v>0</v>
      </c>
      <c r="K46" s="823">
        <f t="shared" si="61"/>
        <v>0</v>
      </c>
      <c r="L46" s="823">
        <f t="shared" si="61"/>
        <v>0</v>
      </c>
      <c r="M46" s="823">
        <f t="shared" si="61"/>
        <v>0</v>
      </c>
      <c r="N46" s="823">
        <f t="shared" si="61"/>
        <v>0</v>
      </c>
      <c r="O46" s="823">
        <f t="shared" si="61"/>
        <v>0</v>
      </c>
      <c r="P46" s="823">
        <f t="shared" si="61"/>
        <v>0</v>
      </c>
      <c r="Q46" s="823">
        <f t="shared" si="61"/>
        <v>0</v>
      </c>
      <c r="R46" s="823">
        <f t="shared" si="61"/>
        <v>0</v>
      </c>
      <c r="S46" s="823">
        <f t="shared" si="61"/>
        <v>0</v>
      </c>
      <c r="T46" s="823">
        <f t="shared" si="61"/>
        <v>0</v>
      </c>
      <c r="U46" s="823">
        <f t="shared" si="61"/>
        <v>0</v>
      </c>
      <c r="V46" s="823">
        <f t="shared" si="61"/>
        <v>0</v>
      </c>
      <c r="W46" s="823">
        <f t="shared" si="61"/>
        <v>0</v>
      </c>
      <c r="X46" s="823">
        <f t="shared" si="61"/>
        <v>0</v>
      </c>
      <c r="Y46" s="823">
        <f t="shared" si="61"/>
        <v>0</v>
      </c>
      <c r="Z46" s="823">
        <f t="shared" si="61"/>
        <v>0</v>
      </c>
      <c r="AA46" s="823">
        <f t="shared" si="61"/>
        <v>0</v>
      </c>
      <c r="AB46" s="823">
        <f t="shared" si="61"/>
        <v>0</v>
      </c>
      <c r="AC46" s="823">
        <f t="shared" si="61"/>
        <v>0</v>
      </c>
      <c r="AD46" s="823">
        <f t="shared" si="61"/>
        <v>0</v>
      </c>
      <c r="AE46" s="823">
        <f t="shared" si="61"/>
        <v>0</v>
      </c>
      <c r="AF46" s="823">
        <f t="shared" si="61"/>
        <v>0</v>
      </c>
      <c r="AG46" s="823">
        <f t="shared" si="61"/>
        <v>0</v>
      </c>
      <c r="AH46" s="823">
        <f t="shared" si="61"/>
        <v>0</v>
      </c>
      <c r="AI46" s="823">
        <f t="shared" si="61"/>
        <v>0</v>
      </c>
      <c r="AJ46" s="823">
        <f t="shared" si="61"/>
        <v>0</v>
      </c>
      <c r="AK46" s="823">
        <f t="shared" si="61"/>
        <v>0</v>
      </c>
      <c r="AL46" s="823">
        <f t="shared" si="61"/>
        <v>0</v>
      </c>
      <c r="AM46" s="823">
        <f t="shared" si="61"/>
        <v>0</v>
      </c>
      <c r="AN46" s="823">
        <f t="shared" si="61"/>
        <v>0</v>
      </c>
      <c r="AO46" s="823">
        <f t="shared" si="61"/>
        <v>0</v>
      </c>
      <c r="AP46" s="823">
        <f t="shared" si="61"/>
        <v>0</v>
      </c>
      <c r="AQ46" s="823">
        <f t="shared" si="61"/>
        <v>4081999680</v>
      </c>
      <c r="AR46" s="823">
        <f t="shared" si="61"/>
        <v>1296001584</v>
      </c>
      <c r="AS46" s="823">
        <f t="shared" si="61"/>
        <v>490280000</v>
      </c>
      <c r="AT46" s="823">
        <f t="shared" si="61"/>
        <v>490280000</v>
      </c>
      <c r="AU46" s="823">
        <f t="shared" si="61"/>
        <v>25196296</v>
      </c>
      <c r="AV46" s="823">
        <f t="shared" si="61"/>
        <v>0</v>
      </c>
      <c r="AW46" s="823">
        <f t="shared" si="61"/>
        <v>0</v>
      </c>
      <c r="AX46" s="823">
        <f t="shared" si="61"/>
        <v>0</v>
      </c>
      <c r="AY46" s="823">
        <f t="shared" si="61"/>
        <v>0</v>
      </c>
      <c r="AZ46" s="823">
        <f t="shared" si="61"/>
        <v>0</v>
      </c>
      <c r="BA46" s="823">
        <f t="shared" si="61"/>
        <v>0</v>
      </c>
      <c r="BB46" s="823">
        <f t="shared" si="61"/>
        <v>0</v>
      </c>
      <c r="BC46" s="823">
        <f t="shared" si="61"/>
        <v>0</v>
      </c>
      <c r="BD46" s="823">
        <f t="shared" si="61"/>
        <v>0</v>
      </c>
      <c r="BE46" s="823">
        <f t="shared" si="61"/>
        <v>0</v>
      </c>
      <c r="BF46" s="823">
        <f t="shared" si="61"/>
        <v>0</v>
      </c>
      <c r="BG46" s="823">
        <f t="shared" si="61"/>
        <v>0</v>
      </c>
      <c r="BH46" s="823">
        <f t="shared" si="61"/>
        <v>0</v>
      </c>
      <c r="BI46" s="823">
        <f t="shared" si="61"/>
        <v>0</v>
      </c>
      <c r="BJ46" s="823">
        <f t="shared" si="61"/>
        <v>0</v>
      </c>
      <c r="BK46" s="823">
        <f t="shared" si="61"/>
        <v>0</v>
      </c>
      <c r="BL46" s="823">
        <f t="shared" si="61"/>
        <v>0</v>
      </c>
      <c r="BM46" s="823">
        <f t="shared" si="61"/>
        <v>0</v>
      </c>
      <c r="BN46" s="823">
        <f t="shared" ref="BN46:ED46" si="62">SUM(BN47:BN48)</f>
        <v>0</v>
      </c>
      <c r="BO46" s="823">
        <f t="shared" si="62"/>
        <v>0</v>
      </c>
      <c r="BP46" s="823">
        <f t="shared" si="62"/>
        <v>0</v>
      </c>
      <c r="BQ46" s="823">
        <f t="shared" si="62"/>
        <v>0</v>
      </c>
      <c r="BR46" s="823">
        <f t="shared" si="62"/>
        <v>0</v>
      </c>
      <c r="BS46" s="823">
        <f t="shared" si="62"/>
        <v>0</v>
      </c>
      <c r="BT46" s="823">
        <f t="shared" si="62"/>
        <v>0</v>
      </c>
      <c r="BU46" s="823">
        <f t="shared" si="62"/>
        <v>0</v>
      </c>
      <c r="BV46" s="823">
        <f t="shared" si="62"/>
        <v>0</v>
      </c>
      <c r="BW46" s="823">
        <f t="shared" si="62"/>
        <v>0</v>
      </c>
      <c r="BX46" s="823">
        <f t="shared" si="62"/>
        <v>0</v>
      </c>
      <c r="BY46" s="823">
        <f t="shared" si="62"/>
        <v>0</v>
      </c>
      <c r="BZ46" s="823">
        <f t="shared" si="62"/>
        <v>0</v>
      </c>
      <c r="CA46" s="823">
        <f t="shared" si="62"/>
        <v>0</v>
      </c>
      <c r="CB46" s="823">
        <f t="shared" si="62"/>
        <v>0</v>
      </c>
      <c r="CC46" s="823">
        <f t="shared" si="62"/>
        <v>0</v>
      </c>
      <c r="CD46" s="823">
        <f t="shared" si="62"/>
        <v>0</v>
      </c>
      <c r="CE46" s="823">
        <f t="shared" si="62"/>
        <v>0</v>
      </c>
      <c r="CF46" s="823">
        <f t="shared" si="62"/>
        <v>0</v>
      </c>
      <c r="CG46" s="823">
        <f t="shared" si="62"/>
        <v>0</v>
      </c>
      <c r="CH46" s="823">
        <f t="shared" si="62"/>
        <v>0</v>
      </c>
      <c r="CI46" s="823">
        <f t="shared" si="62"/>
        <v>0</v>
      </c>
      <c r="CJ46" s="823">
        <f t="shared" si="62"/>
        <v>0</v>
      </c>
      <c r="CK46" s="823">
        <f t="shared" si="62"/>
        <v>0</v>
      </c>
      <c r="CL46" s="823">
        <f t="shared" si="62"/>
        <v>0</v>
      </c>
      <c r="CM46" s="823">
        <f t="shared" si="62"/>
        <v>544779350</v>
      </c>
      <c r="CN46" s="823">
        <f t="shared" si="62"/>
        <v>0</v>
      </c>
      <c r="CO46" s="823">
        <f t="shared" si="62"/>
        <v>0</v>
      </c>
      <c r="CP46" s="823">
        <f t="shared" si="62"/>
        <v>0</v>
      </c>
      <c r="CQ46" s="823">
        <f t="shared" si="62"/>
        <v>0</v>
      </c>
      <c r="CR46" s="823">
        <f t="shared" si="62"/>
        <v>0</v>
      </c>
      <c r="CS46" s="823">
        <f t="shared" si="62"/>
        <v>0</v>
      </c>
      <c r="CT46" s="823">
        <f t="shared" si="62"/>
        <v>0</v>
      </c>
      <c r="CU46" s="823">
        <f t="shared" si="62"/>
        <v>0</v>
      </c>
      <c r="CV46" s="823">
        <f t="shared" si="62"/>
        <v>0</v>
      </c>
      <c r="CW46" s="823">
        <f t="shared" si="62"/>
        <v>0</v>
      </c>
      <c r="CX46" s="823">
        <f t="shared" si="62"/>
        <v>0</v>
      </c>
      <c r="CY46" s="823">
        <f t="shared" si="62"/>
        <v>0</v>
      </c>
      <c r="CZ46" s="823">
        <f t="shared" si="62"/>
        <v>0</v>
      </c>
      <c r="DA46" s="823">
        <f t="shared" si="62"/>
        <v>0</v>
      </c>
      <c r="DB46" s="823">
        <f t="shared" si="62"/>
        <v>0</v>
      </c>
      <c r="DC46" s="823">
        <f t="shared" si="62"/>
        <v>0</v>
      </c>
      <c r="DD46" s="823">
        <f t="shared" si="62"/>
        <v>0</v>
      </c>
      <c r="DE46" s="823">
        <f t="shared" si="62"/>
        <v>0</v>
      </c>
      <c r="DF46" s="823">
        <f t="shared" si="62"/>
        <v>0</v>
      </c>
      <c r="DG46" s="823">
        <f t="shared" si="62"/>
        <v>0</v>
      </c>
      <c r="DH46" s="823">
        <f t="shared" si="62"/>
        <v>0</v>
      </c>
      <c r="DI46" s="823">
        <f t="shared" si="62"/>
        <v>0</v>
      </c>
      <c r="DJ46" s="823">
        <f t="shared" si="62"/>
        <v>0</v>
      </c>
      <c r="DK46" s="823">
        <f t="shared" si="62"/>
        <v>0</v>
      </c>
      <c r="DL46" s="823">
        <f t="shared" si="62"/>
        <v>0</v>
      </c>
      <c r="DM46" s="823">
        <f t="shared" si="62"/>
        <v>0</v>
      </c>
      <c r="DN46" s="823">
        <f t="shared" si="62"/>
        <v>0</v>
      </c>
      <c r="DO46" s="823">
        <f t="shared" si="62"/>
        <v>0</v>
      </c>
      <c r="DP46" s="823">
        <f t="shared" si="62"/>
        <v>0</v>
      </c>
      <c r="DQ46" s="823">
        <f t="shared" si="62"/>
        <v>0</v>
      </c>
      <c r="DR46" s="823">
        <f t="shared" si="62"/>
        <v>0</v>
      </c>
      <c r="DS46" s="823">
        <f t="shared" si="62"/>
        <v>0</v>
      </c>
      <c r="DT46" s="823">
        <f t="shared" si="62"/>
        <v>0</v>
      </c>
      <c r="DU46" s="823">
        <f t="shared" si="62"/>
        <v>0</v>
      </c>
      <c r="DV46" s="823">
        <f t="shared" si="62"/>
        <v>0</v>
      </c>
      <c r="DW46" s="823">
        <f t="shared" si="62"/>
        <v>0</v>
      </c>
      <c r="DX46" s="823">
        <f t="shared" si="62"/>
        <v>0</v>
      </c>
      <c r="DY46" s="823">
        <f t="shared" si="62"/>
        <v>0</v>
      </c>
      <c r="DZ46" s="823">
        <f t="shared" si="62"/>
        <v>0</v>
      </c>
      <c r="EA46" s="823">
        <f t="shared" si="62"/>
        <v>0</v>
      </c>
      <c r="EB46" s="823">
        <f t="shared" si="62"/>
        <v>0</v>
      </c>
      <c r="EC46" s="823">
        <f t="shared" si="62"/>
        <v>0</v>
      </c>
      <c r="ED46" s="823">
        <f t="shared" si="62"/>
        <v>0</v>
      </c>
      <c r="EE46" s="810">
        <f t="shared" si="58"/>
        <v>4651975326</v>
      </c>
      <c r="EF46" s="810">
        <f t="shared" si="58"/>
        <v>1296001584</v>
      </c>
      <c r="EG46" s="810">
        <f t="shared" si="58"/>
        <v>490280000</v>
      </c>
      <c r="EH46" s="810">
        <f t="shared" si="58"/>
        <v>490280000</v>
      </c>
      <c r="EI46" s="824">
        <f t="shared" si="4"/>
        <v>0</v>
      </c>
      <c r="EK46" s="813"/>
    </row>
    <row r="47" spans="1:141" ht="27" thickTop="1" thickBot="1" x14ac:dyDescent="0.3">
      <c r="A47" s="825" t="s">
        <v>2033</v>
      </c>
      <c r="B47" s="826">
        <f>+'Anexo 5.2. informe Gastos'!I133</f>
        <v>441429350</v>
      </c>
      <c r="C47" s="837"/>
      <c r="D47" s="837"/>
      <c r="E47" s="837"/>
      <c r="F47" s="837"/>
      <c r="G47" s="837"/>
      <c r="H47" s="837"/>
      <c r="I47" s="837"/>
      <c r="J47" s="837"/>
      <c r="K47" s="837"/>
      <c r="L47" s="837"/>
      <c r="M47" s="837"/>
      <c r="N47" s="837"/>
      <c r="O47" s="842"/>
      <c r="P47" s="842"/>
      <c r="Q47" s="837"/>
      <c r="R47" s="842"/>
      <c r="S47" s="842"/>
      <c r="T47" s="842"/>
      <c r="U47" s="837"/>
      <c r="V47" s="837"/>
      <c r="W47" s="837"/>
      <c r="X47" s="837"/>
      <c r="Y47" s="837"/>
      <c r="Z47" s="837"/>
      <c r="AA47" s="837"/>
      <c r="AB47" s="837"/>
      <c r="AC47" s="837"/>
      <c r="AD47" s="837"/>
      <c r="AE47" s="837"/>
      <c r="AF47" s="837"/>
      <c r="AG47" s="837"/>
      <c r="AH47" s="837"/>
      <c r="AI47" s="837"/>
      <c r="AJ47" s="837"/>
      <c r="AK47" s="837"/>
      <c r="AL47" s="837"/>
      <c r="AM47" s="837"/>
      <c r="AN47" s="837"/>
      <c r="AO47" s="837"/>
      <c r="AP47" s="837"/>
      <c r="AQ47" s="837"/>
      <c r="AR47" s="837"/>
      <c r="AS47" s="837"/>
      <c r="AT47" s="837"/>
      <c r="AU47" s="837"/>
      <c r="AV47" s="837"/>
      <c r="AW47" s="837"/>
      <c r="AX47" s="837"/>
      <c r="AY47" s="837"/>
      <c r="AZ47" s="837"/>
      <c r="BA47" s="837"/>
      <c r="BB47" s="837"/>
      <c r="BC47" s="837"/>
      <c r="BD47" s="837"/>
      <c r="BE47" s="837"/>
      <c r="BF47" s="837"/>
      <c r="BG47" s="837"/>
      <c r="BH47" s="837"/>
      <c r="BI47" s="837"/>
      <c r="BJ47" s="837"/>
      <c r="BK47" s="837"/>
      <c r="BL47" s="837"/>
      <c r="BM47" s="837"/>
      <c r="BN47" s="837"/>
      <c r="BO47" s="837"/>
      <c r="BP47" s="837"/>
      <c r="BQ47" s="837"/>
      <c r="BR47" s="837"/>
      <c r="BS47" s="837"/>
      <c r="BT47" s="837"/>
      <c r="BU47" s="837"/>
      <c r="BV47" s="837"/>
      <c r="BW47" s="837"/>
      <c r="BX47" s="837"/>
      <c r="BY47" s="837"/>
      <c r="BZ47" s="837"/>
      <c r="CA47" s="837"/>
      <c r="CB47" s="837"/>
      <c r="CC47" s="837"/>
      <c r="CD47" s="837"/>
      <c r="CE47" s="837"/>
      <c r="CF47" s="837"/>
      <c r="CG47" s="837"/>
      <c r="CH47" s="837"/>
      <c r="CI47" s="837"/>
      <c r="CJ47" s="837"/>
      <c r="CK47" s="837"/>
      <c r="CL47" s="837"/>
      <c r="CM47" s="851">
        <v>441429350</v>
      </c>
      <c r="CN47" s="836"/>
      <c r="CO47" s="836"/>
      <c r="CP47" s="836"/>
      <c r="CQ47" s="836"/>
      <c r="CR47" s="836"/>
      <c r="CS47" s="836"/>
      <c r="CT47" s="836"/>
      <c r="CU47" s="836"/>
      <c r="CV47" s="836"/>
      <c r="CW47" s="836"/>
      <c r="CX47" s="836"/>
      <c r="CY47" s="836"/>
      <c r="CZ47" s="836"/>
      <c r="DA47" s="836"/>
      <c r="DB47" s="836"/>
      <c r="DC47" s="836"/>
      <c r="DD47" s="836"/>
      <c r="DE47" s="836"/>
      <c r="DF47" s="836"/>
      <c r="DG47" s="836"/>
      <c r="DH47" s="836"/>
      <c r="DI47" s="836"/>
      <c r="DJ47" s="836"/>
      <c r="DK47" s="836"/>
      <c r="DL47" s="836"/>
      <c r="DM47" s="836"/>
      <c r="DN47" s="836"/>
      <c r="DO47" s="836"/>
      <c r="DP47" s="836">
        <v>0</v>
      </c>
      <c r="DQ47" s="836">
        <v>0</v>
      </c>
      <c r="DR47" s="836">
        <v>0</v>
      </c>
      <c r="DS47" s="836">
        <v>0</v>
      </c>
      <c r="DT47" s="836">
        <v>0</v>
      </c>
      <c r="DU47" s="836">
        <v>0</v>
      </c>
      <c r="DV47" s="836">
        <v>0</v>
      </c>
      <c r="DW47" s="836">
        <v>0</v>
      </c>
      <c r="DX47" s="836">
        <v>0</v>
      </c>
      <c r="DY47" s="836">
        <v>0</v>
      </c>
      <c r="DZ47" s="836">
        <v>0</v>
      </c>
      <c r="EA47" s="842"/>
      <c r="EB47" s="842"/>
      <c r="EC47" s="837"/>
      <c r="ED47" s="837"/>
      <c r="EE47" s="832">
        <f t="shared" si="58"/>
        <v>441429350</v>
      </c>
      <c r="EF47" s="832">
        <f t="shared" si="58"/>
        <v>0</v>
      </c>
      <c r="EG47" s="832">
        <f t="shared" si="58"/>
        <v>0</v>
      </c>
      <c r="EH47" s="832">
        <f t="shared" si="58"/>
        <v>0</v>
      </c>
      <c r="EI47" s="725">
        <f t="shared" si="4"/>
        <v>0</v>
      </c>
      <c r="EJ47" s="838"/>
      <c r="EK47" s="813"/>
    </row>
    <row r="48" spans="1:141" ht="23.25" customHeight="1" thickTop="1" thickBot="1" x14ac:dyDescent="0.3">
      <c r="A48" s="825" t="s">
        <v>1563</v>
      </c>
      <c r="B48" s="826">
        <f>+'Anexo 5.2. informe Gastos'!I134</f>
        <v>4210545976</v>
      </c>
      <c r="C48" s="837"/>
      <c r="D48" s="837"/>
      <c r="E48" s="837"/>
      <c r="F48" s="837"/>
      <c r="G48" s="837"/>
      <c r="H48" s="837"/>
      <c r="I48" s="837"/>
      <c r="J48" s="837"/>
      <c r="K48" s="837"/>
      <c r="L48" s="837"/>
      <c r="M48" s="837"/>
      <c r="N48" s="837"/>
      <c r="O48" s="842"/>
      <c r="P48" s="842"/>
      <c r="Q48" s="837"/>
      <c r="R48" s="842"/>
      <c r="S48" s="842"/>
      <c r="T48" s="842"/>
      <c r="U48" s="837"/>
      <c r="V48" s="837"/>
      <c r="W48" s="837"/>
      <c r="X48" s="837"/>
      <c r="Y48" s="837"/>
      <c r="Z48" s="837"/>
      <c r="AA48" s="837"/>
      <c r="AB48" s="837"/>
      <c r="AC48" s="837"/>
      <c r="AD48" s="837"/>
      <c r="AE48" s="837"/>
      <c r="AF48" s="837"/>
      <c r="AG48" s="837"/>
      <c r="AH48" s="837"/>
      <c r="AI48" s="837"/>
      <c r="AJ48" s="837"/>
      <c r="AK48" s="837"/>
      <c r="AL48" s="837"/>
      <c r="AM48" s="837"/>
      <c r="AN48" s="831"/>
      <c r="AO48" s="831"/>
      <c r="AP48" s="831"/>
      <c r="AQ48" s="852">
        <f>4081999680</f>
        <v>4081999680</v>
      </c>
      <c r="AR48" s="831">
        <v>1296001584</v>
      </c>
      <c r="AS48" s="831">
        <v>490280000</v>
      </c>
      <c r="AT48" s="831">
        <v>490280000</v>
      </c>
      <c r="AU48" s="847">
        <v>25196296</v>
      </c>
      <c r="AV48" s="831"/>
      <c r="AW48" s="831"/>
      <c r="AX48" s="831"/>
      <c r="AY48" s="837"/>
      <c r="AZ48" s="837"/>
      <c r="BA48" s="837"/>
      <c r="BB48" s="837"/>
      <c r="BC48" s="837"/>
      <c r="BD48" s="837"/>
      <c r="BE48" s="837"/>
      <c r="BF48" s="837"/>
      <c r="BG48" s="837"/>
      <c r="BH48" s="837"/>
      <c r="BI48" s="837"/>
      <c r="BJ48" s="837"/>
      <c r="BK48" s="837"/>
      <c r="BL48" s="837"/>
      <c r="BM48" s="837"/>
      <c r="BN48" s="837"/>
      <c r="BO48" s="837"/>
      <c r="BP48" s="837"/>
      <c r="BQ48" s="837"/>
      <c r="BR48" s="837"/>
      <c r="BS48" s="837"/>
      <c r="BT48" s="837"/>
      <c r="BU48" s="837"/>
      <c r="BV48" s="837"/>
      <c r="BW48" s="837"/>
      <c r="BX48" s="837"/>
      <c r="BY48" s="837"/>
      <c r="BZ48" s="837"/>
      <c r="CA48" s="837"/>
      <c r="CB48" s="837"/>
      <c r="CC48" s="837"/>
      <c r="CD48" s="837"/>
      <c r="CE48" s="837"/>
      <c r="CF48" s="837"/>
      <c r="CG48" s="837"/>
      <c r="CH48" s="837"/>
      <c r="CI48" s="837"/>
      <c r="CJ48" s="837"/>
      <c r="CK48" s="837"/>
      <c r="CL48" s="837"/>
      <c r="CM48" s="837">
        <v>103350000</v>
      </c>
      <c r="CN48" s="836"/>
      <c r="CO48" s="836"/>
      <c r="CP48" s="836"/>
      <c r="CQ48" s="836"/>
      <c r="CR48" s="836"/>
      <c r="CS48" s="836"/>
      <c r="CT48" s="836"/>
      <c r="CU48" s="836"/>
      <c r="CV48" s="836"/>
      <c r="CW48" s="836"/>
      <c r="CX48" s="836"/>
      <c r="CY48" s="836"/>
      <c r="CZ48" s="836"/>
      <c r="DA48" s="836"/>
      <c r="DB48" s="836"/>
      <c r="DC48" s="836"/>
      <c r="DD48" s="836"/>
      <c r="DE48" s="836"/>
      <c r="DF48" s="836"/>
      <c r="DG48" s="836">
        <v>0</v>
      </c>
      <c r="DH48" s="836">
        <v>0</v>
      </c>
      <c r="DI48" s="836">
        <v>0</v>
      </c>
      <c r="DJ48" s="836">
        <v>0</v>
      </c>
      <c r="DK48" s="836">
        <v>0</v>
      </c>
      <c r="DL48" s="836">
        <v>0</v>
      </c>
      <c r="DM48" s="836">
        <v>0</v>
      </c>
      <c r="DN48" s="836">
        <v>0</v>
      </c>
      <c r="DO48" s="836">
        <v>0</v>
      </c>
      <c r="DP48" s="836">
        <v>0</v>
      </c>
      <c r="DQ48" s="836">
        <v>0</v>
      </c>
      <c r="DR48" s="836">
        <v>0</v>
      </c>
      <c r="DS48" s="836">
        <v>0</v>
      </c>
      <c r="DT48" s="836">
        <v>0</v>
      </c>
      <c r="DU48" s="836">
        <v>0</v>
      </c>
      <c r="DV48" s="836">
        <v>0</v>
      </c>
      <c r="DW48" s="836">
        <v>0</v>
      </c>
      <c r="DX48" s="836">
        <v>0</v>
      </c>
      <c r="DY48" s="836">
        <v>0</v>
      </c>
      <c r="DZ48" s="836">
        <v>0</v>
      </c>
      <c r="EA48" s="842"/>
      <c r="EB48" s="842"/>
      <c r="EC48" s="837"/>
      <c r="ED48" s="837"/>
      <c r="EE48" s="832">
        <f t="shared" si="58"/>
        <v>4210545976</v>
      </c>
      <c r="EF48" s="832">
        <f t="shared" si="58"/>
        <v>1296001584</v>
      </c>
      <c r="EG48" s="832">
        <f t="shared" si="58"/>
        <v>490280000</v>
      </c>
      <c r="EH48" s="832">
        <f t="shared" si="58"/>
        <v>490280000</v>
      </c>
      <c r="EI48" s="725">
        <f t="shared" si="4"/>
        <v>0</v>
      </c>
      <c r="EJ48" s="838"/>
      <c r="EK48" s="813"/>
    </row>
    <row r="49" spans="1:141" ht="28.5" customHeight="1" thickTop="1" thickBot="1" x14ac:dyDescent="0.3">
      <c r="A49" s="822" t="s">
        <v>1564</v>
      </c>
      <c r="B49" s="823">
        <f t="shared" ref="B49:BM49" si="63">SUM(B50:B54)</f>
        <v>5789811289</v>
      </c>
      <c r="C49" s="823">
        <f t="shared" si="63"/>
        <v>0</v>
      </c>
      <c r="D49" s="823">
        <f t="shared" si="63"/>
        <v>0</v>
      </c>
      <c r="E49" s="823">
        <f t="shared" si="63"/>
        <v>0</v>
      </c>
      <c r="F49" s="823">
        <f t="shared" si="63"/>
        <v>0</v>
      </c>
      <c r="G49" s="823">
        <f t="shared" si="63"/>
        <v>0</v>
      </c>
      <c r="H49" s="823">
        <f t="shared" si="63"/>
        <v>0</v>
      </c>
      <c r="I49" s="823">
        <f t="shared" si="63"/>
        <v>0</v>
      </c>
      <c r="J49" s="823">
        <f t="shared" si="63"/>
        <v>0</v>
      </c>
      <c r="K49" s="823">
        <f t="shared" si="63"/>
        <v>0</v>
      </c>
      <c r="L49" s="823">
        <f t="shared" si="63"/>
        <v>0</v>
      </c>
      <c r="M49" s="823">
        <f t="shared" si="63"/>
        <v>0</v>
      </c>
      <c r="N49" s="823">
        <f t="shared" si="63"/>
        <v>0</v>
      </c>
      <c r="O49" s="823">
        <f t="shared" si="63"/>
        <v>0</v>
      </c>
      <c r="P49" s="823">
        <f t="shared" si="63"/>
        <v>0</v>
      </c>
      <c r="Q49" s="823">
        <f t="shared" si="63"/>
        <v>0</v>
      </c>
      <c r="R49" s="823">
        <f t="shared" si="63"/>
        <v>0</v>
      </c>
      <c r="S49" s="823">
        <f t="shared" si="63"/>
        <v>31197109</v>
      </c>
      <c r="T49" s="823">
        <f t="shared" si="63"/>
        <v>0</v>
      </c>
      <c r="U49" s="823">
        <f t="shared" si="63"/>
        <v>0</v>
      </c>
      <c r="V49" s="823">
        <f t="shared" si="63"/>
        <v>0</v>
      </c>
      <c r="W49" s="823">
        <f t="shared" si="63"/>
        <v>0</v>
      </c>
      <c r="X49" s="823">
        <f t="shared" si="63"/>
        <v>0</v>
      </c>
      <c r="Y49" s="823">
        <f t="shared" si="63"/>
        <v>0</v>
      </c>
      <c r="Z49" s="823">
        <f t="shared" si="63"/>
        <v>0</v>
      </c>
      <c r="AA49" s="823">
        <f t="shared" si="63"/>
        <v>0</v>
      </c>
      <c r="AB49" s="823">
        <f t="shared" si="63"/>
        <v>0</v>
      </c>
      <c r="AC49" s="823">
        <f t="shared" si="63"/>
        <v>0</v>
      </c>
      <c r="AD49" s="823">
        <f t="shared" si="63"/>
        <v>0</v>
      </c>
      <c r="AE49" s="823">
        <f t="shared" si="63"/>
        <v>0</v>
      </c>
      <c r="AF49" s="823">
        <f t="shared" si="63"/>
        <v>0</v>
      </c>
      <c r="AG49" s="823">
        <f t="shared" si="63"/>
        <v>0</v>
      </c>
      <c r="AH49" s="823">
        <f t="shared" si="63"/>
        <v>0</v>
      </c>
      <c r="AI49" s="823">
        <f t="shared" si="63"/>
        <v>0</v>
      </c>
      <c r="AJ49" s="823">
        <f t="shared" si="63"/>
        <v>0</v>
      </c>
      <c r="AK49" s="823">
        <f t="shared" si="63"/>
        <v>0</v>
      </c>
      <c r="AL49" s="823">
        <f t="shared" si="63"/>
        <v>0</v>
      </c>
      <c r="AM49" s="823">
        <f t="shared" si="63"/>
        <v>0</v>
      </c>
      <c r="AN49" s="823">
        <f t="shared" si="63"/>
        <v>0</v>
      </c>
      <c r="AO49" s="823">
        <f t="shared" si="63"/>
        <v>0</v>
      </c>
      <c r="AP49" s="823">
        <f t="shared" si="63"/>
        <v>0</v>
      </c>
      <c r="AQ49" s="823">
        <f t="shared" si="63"/>
        <v>0</v>
      </c>
      <c r="AR49" s="823">
        <f t="shared" si="63"/>
        <v>0</v>
      </c>
      <c r="AS49" s="823">
        <f t="shared" si="63"/>
        <v>0</v>
      </c>
      <c r="AT49" s="823">
        <f t="shared" si="63"/>
        <v>0</v>
      </c>
      <c r="AU49" s="823">
        <f t="shared" si="63"/>
        <v>0</v>
      </c>
      <c r="AV49" s="823">
        <f t="shared" si="63"/>
        <v>0</v>
      </c>
      <c r="AW49" s="823">
        <f t="shared" si="63"/>
        <v>0</v>
      </c>
      <c r="AX49" s="823">
        <f t="shared" si="63"/>
        <v>0</v>
      </c>
      <c r="AY49" s="823">
        <f t="shared" si="63"/>
        <v>0</v>
      </c>
      <c r="AZ49" s="823">
        <f t="shared" si="63"/>
        <v>0</v>
      </c>
      <c r="BA49" s="823">
        <f t="shared" si="63"/>
        <v>0</v>
      </c>
      <c r="BB49" s="823">
        <f t="shared" si="63"/>
        <v>0</v>
      </c>
      <c r="BC49" s="823">
        <f t="shared" si="63"/>
        <v>0</v>
      </c>
      <c r="BD49" s="823">
        <f t="shared" si="63"/>
        <v>0</v>
      </c>
      <c r="BE49" s="823">
        <f t="shared" si="63"/>
        <v>0</v>
      </c>
      <c r="BF49" s="823">
        <f t="shared" si="63"/>
        <v>0</v>
      </c>
      <c r="BG49" s="823">
        <f t="shared" si="63"/>
        <v>0</v>
      </c>
      <c r="BH49" s="823">
        <f t="shared" si="63"/>
        <v>0</v>
      </c>
      <c r="BI49" s="823">
        <f t="shared" si="63"/>
        <v>0</v>
      </c>
      <c r="BJ49" s="823">
        <f t="shared" si="63"/>
        <v>0</v>
      </c>
      <c r="BK49" s="823">
        <f t="shared" si="63"/>
        <v>0</v>
      </c>
      <c r="BL49" s="823">
        <f t="shared" si="63"/>
        <v>0</v>
      </c>
      <c r="BM49" s="823">
        <f t="shared" si="63"/>
        <v>0</v>
      </c>
      <c r="BN49" s="823">
        <f t="shared" ref="BN49:ED49" si="64">SUM(BN50:BN54)</f>
        <v>0</v>
      </c>
      <c r="BO49" s="823">
        <f t="shared" si="64"/>
        <v>0</v>
      </c>
      <c r="BP49" s="823">
        <f t="shared" si="64"/>
        <v>0</v>
      </c>
      <c r="BQ49" s="823">
        <f t="shared" si="64"/>
        <v>0</v>
      </c>
      <c r="BR49" s="823">
        <f t="shared" si="64"/>
        <v>0</v>
      </c>
      <c r="BS49" s="823">
        <f t="shared" si="64"/>
        <v>0</v>
      </c>
      <c r="BT49" s="823">
        <f t="shared" si="64"/>
        <v>0</v>
      </c>
      <c r="BU49" s="823">
        <f t="shared" si="64"/>
        <v>0</v>
      </c>
      <c r="BV49" s="823">
        <f t="shared" si="64"/>
        <v>0</v>
      </c>
      <c r="BW49" s="823">
        <f t="shared" si="64"/>
        <v>0</v>
      </c>
      <c r="BX49" s="823">
        <f t="shared" si="64"/>
        <v>0</v>
      </c>
      <c r="BY49" s="823">
        <f t="shared" si="64"/>
        <v>0</v>
      </c>
      <c r="BZ49" s="823">
        <f t="shared" si="64"/>
        <v>0</v>
      </c>
      <c r="CA49" s="823">
        <f t="shared" si="64"/>
        <v>2602344269</v>
      </c>
      <c r="CB49" s="823">
        <f t="shared" si="64"/>
        <v>293700000</v>
      </c>
      <c r="CC49" s="823">
        <f t="shared" si="64"/>
        <v>293700000</v>
      </c>
      <c r="CD49" s="823">
        <f t="shared" si="64"/>
        <v>293700000</v>
      </c>
      <c r="CE49" s="823">
        <f t="shared" si="64"/>
        <v>2919817193</v>
      </c>
      <c r="CF49" s="823">
        <f t="shared" si="64"/>
        <v>891623003</v>
      </c>
      <c r="CG49" s="823">
        <f t="shared" si="64"/>
        <v>831623003</v>
      </c>
      <c r="CH49" s="823">
        <f t="shared" si="64"/>
        <v>831623003</v>
      </c>
      <c r="CI49" s="823">
        <f t="shared" si="64"/>
        <v>6452718</v>
      </c>
      <c r="CJ49" s="823">
        <f t="shared" si="64"/>
        <v>0</v>
      </c>
      <c r="CK49" s="823">
        <f t="shared" si="64"/>
        <v>0</v>
      </c>
      <c r="CL49" s="823">
        <f t="shared" si="64"/>
        <v>0</v>
      </c>
      <c r="CM49" s="823">
        <f t="shared" si="64"/>
        <v>230000000</v>
      </c>
      <c r="CN49" s="823">
        <f t="shared" si="64"/>
        <v>230000000</v>
      </c>
      <c r="CO49" s="823">
        <f t="shared" si="64"/>
        <v>115000000</v>
      </c>
      <c r="CP49" s="823">
        <f t="shared" si="64"/>
        <v>115000000</v>
      </c>
      <c r="CQ49" s="823">
        <f t="shared" si="64"/>
        <v>0</v>
      </c>
      <c r="CR49" s="823">
        <f t="shared" si="64"/>
        <v>0</v>
      </c>
      <c r="CS49" s="823">
        <f t="shared" si="64"/>
        <v>0</v>
      </c>
      <c r="CT49" s="823">
        <f t="shared" si="64"/>
        <v>0</v>
      </c>
      <c r="CU49" s="823">
        <f t="shared" si="64"/>
        <v>0</v>
      </c>
      <c r="CV49" s="823">
        <f t="shared" si="64"/>
        <v>0</v>
      </c>
      <c r="CW49" s="823">
        <f t="shared" si="64"/>
        <v>0</v>
      </c>
      <c r="CX49" s="823">
        <f t="shared" si="64"/>
        <v>0</v>
      </c>
      <c r="CY49" s="823">
        <f t="shared" si="64"/>
        <v>0</v>
      </c>
      <c r="CZ49" s="823">
        <f t="shared" si="64"/>
        <v>0</v>
      </c>
      <c r="DA49" s="823">
        <f t="shared" si="64"/>
        <v>0</v>
      </c>
      <c r="DB49" s="823">
        <f t="shared" si="64"/>
        <v>0</v>
      </c>
      <c r="DC49" s="823">
        <f t="shared" si="64"/>
        <v>0</v>
      </c>
      <c r="DD49" s="823">
        <f t="shared" si="64"/>
        <v>0</v>
      </c>
      <c r="DE49" s="823">
        <f t="shared" si="64"/>
        <v>0</v>
      </c>
      <c r="DF49" s="823">
        <f t="shared" si="64"/>
        <v>0</v>
      </c>
      <c r="DG49" s="823">
        <f t="shared" si="64"/>
        <v>0</v>
      </c>
      <c r="DH49" s="823">
        <f t="shared" si="64"/>
        <v>0</v>
      </c>
      <c r="DI49" s="823">
        <f t="shared" si="64"/>
        <v>0</v>
      </c>
      <c r="DJ49" s="823">
        <f t="shared" si="64"/>
        <v>0</v>
      </c>
      <c r="DK49" s="823">
        <f t="shared" si="64"/>
        <v>0</v>
      </c>
      <c r="DL49" s="823">
        <f t="shared" si="64"/>
        <v>0</v>
      </c>
      <c r="DM49" s="823">
        <f t="shared" si="64"/>
        <v>0</v>
      </c>
      <c r="DN49" s="823">
        <f t="shared" si="64"/>
        <v>0</v>
      </c>
      <c r="DO49" s="823">
        <f t="shared" si="64"/>
        <v>0</v>
      </c>
      <c r="DP49" s="823">
        <f t="shared" si="64"/>
        <v>0</v>
      </c>
      <c r="DQ49" s="823">
        <f t="shared" si="64"/>
        <v>0</v>
      </c>
      <c r="DR49" s="823">
        <f t="shared" si="64"/>
        <v>0</v>
      </c>
      <c r="DS49" s="823">
        <f t="shared" si="64"/>
        <v>0</v>
      </c>
      <c r="DT49" s="823">
        <f t="shared" si="64"/>
        <v>0</v>
      </c>
      <c r="DU49" s="823">
        <f t="shared" si="64"/>
        <v>0</v>
      </c>
      <c r="DV49" s="823">
        <f t="shared" si="64"/>
        <v>0</v>
      </c>
      <c r="DW49" s="823">
        <f t="shared" si="64"/>
        <v>0</v>
      </c>
      <c r="DX49" s="823">
        <f t="shared" si="64"/>
        <v>0</v>
      </c>
      <c r="DY49" s="823">
        <f t="shared" si="64"/>
        <v>0</v>
      </c>
      <c r="DZ49" s="823">
        <f t="shared" si="64"/>
        <v>0</v>
      </c>
      <c r="EA49" s="823">
        <f t="shared" si="64"/>
        <v>0</v>
      </c>
      <c r="EB49" s="823">
        <f t="shared" si="64"/>
        <v>0</v>
      </c>
      <c r="EC49" s="823">
        <f t="shared" si="64"/>
        <v>0</v>
      </c>
      <c r="ED49" s="823">
        <f t="shared" si="64"/>
        <v>0</v>
      </c>
      <c r="EE49" s="810">
        <f>+C49+G49+K49+O49+S49+W49+AA49+AE49+AI49+AM49+AQ49+AU49+AY49+BC49+BG49+BK49+BO49+BS49+BW49+CA49+CE49+CI49+CM49+CQ49+CU49+CY49+DC49+DG49+DK49+DO49+EA49+DS49+DW49</f>
        <v>5789811289</v>
      </c>
      <c r="EF49" s="810">
        <f>+D49+H49+L49+P49+T49+X49+AB49+AF49+AJ49+AN49+AR49+AV49+AZ49+BD49+BH49+BL49+BP49+BT49+BX49+CB49+CF49+CJ49+CN49+CR49+CV49+CZ49+DD49+DH49+DL49+DP49+EB49+DT49+DX49</f>
        <v>1415323003</v>
      </c>
      <c r="EG49" s="810">
        <f>+E49+I49+M49+Q49+U49+Y49+AC49+AG49+AK49+AO49+AS49+AW49+BA49+BE49+BI49+BM49+BQ49+BU49+BY49+CC49+CG49+CK49+CO49+CS49+CW49+DA49+DE49+DI49+DM49+DQ49+EC49+DU49+DY49</f>
        <v>1240323003</v>
      </c>
      <c r="EH49" s="810">
        <f>+F49+J49+N49+R49+V49+Z49+AD49+AH49+AL49+AP49+AT49+AX49+BB49+BF49+BJ49+BN49+BR49+BV49+BZ49+CD49+CH49+CL49+CP49+CT49+CX49+DB49+DF49+DJ49+DN49+DR49+ED49+DV49+DZ49</f>
        <v>1240323003</v>
      </c>
      <c r="EI49" s="824">
        <f t="shared" si="4"/>
        <v>0</v>
      </c>
      <c r="EK49" s="813"/>
    </row>
    <row r="50" spans="1:141" ht="27" thickTop="1" thickBot="1" x14ac:dyDescent="0.3">
      <c r="A50" s="825" t="s">
        <v>1565</v>
      </c>
      <c r="B50" s="826">
        <f>+'Anexo 5.2. informe Gastos'!I138</f>
        <v>3607389180</v>
      </c>
      <c r="C50" s="837"/>
      <c r="D50" s="837"/>
      <c r="E50" s="837"/>
      <c r="F50" s="837"/>
      <c r="G50" s="837"/>
      <c r="H50" s="837"/>
      <c r="I50" s="837"/>
      <c r="J50" s="837"/>
      <c r="K50" s="837"/>
      <c r="L50" s="837"/>
      <c r="M50" s="837"/>
      <c r="N50" s="837"/>
      <c r="O50" s="842"/>
      <c r="P50" s="842"/>
      <c r="Q50" s="837"/>
      <c r="R50" s="842"/>
      <c r="S50" s="899">
        <v>31197109</v>
      </c>
      <c r="T50" s="843"/>
      <c r="U50" s="837"/>
      <c r="V50" s="837"/>
      <c r="W50" s="837"/>
      <c r="X50" s="837"/>
      <c r="Y50" s="837"/>
      <c r="Z50" s="837"/>
      <c r="AA50" s="837"/>
      <c r="AB50" s="837"/>
      <c r="AC50" s="837"/>
      <c r="AD50" s="837"/>
      <c r="AE50" s="837"/>
      <c r="AF50" s="837"/>
      <c r="AG50" s="837"/>
      <c r="AH50" s="837"/>
      <c r="AI50" s="837"/>
      <c r="AJ50" s="837"/>
      <c r="AK50" s="837"/>
      <c r="AL50" s="837"/>
      <c r="AM50" s="837"/>
      <c r="AN50" s="837"/>
      <c r="AO50" s="837"/>
      <c r="AP50" s="837"/>
      <c r="AQ50" s="837"/>
      <c r="AR50" s="837"/>
      <c r="AS50" s="837"/>
      <c r="AT50" s="837"/>
      <c r="AU50" s="837"/>
      <c r="AV50" s="837"/>
      <c r="AW50" s="837"/>
      <c r="AX50" s="837"/>
      <c r="AY50" s="837"/>
      <c r="AZ50" s="837"/>
      <c r="BA50" s="837"/>
      <c r="BB50" s="837"/>
      <c r="BC50" s="837"/>
      <c r="BD50" s="837"/>
      <c r="BE50" s="837"/>
      <c r="BF50" s="837"/>
      <c r="BG50" s="837"/>
      <c r="BH50" s="837"/>
      <c r="BI50" s="837"/>
      <c r="BJ50" s="837"/>
      <c r="BK50" s="837"/>
      <c r="BL50" s="837"/>
      <c r="BM50" s="837"/>
      <c r="BN50" s="837"/>
      <c r="BO50" s="837"/>
      <c r="BP50" s="837"/>
      <c r="BQ50" s="837"/>
      <c r="BR50" s="837"/>
      <c r="BS50" s="837"/>
      <c r="BT50" s="837"/>
      <c r="BU50" s="837"/>
      <c r="BV50" s="837"/>
      <c r="BW50" s="837"/>
      <c r="BX50" s="837"/>
      <c r="BY50" s="837"/>
      <c r="BZ50" s="837"/>
      <c r="CA50" s="847">
        <v>2602344269</v>
      </c>
      <c r="CB50" s="831">
        <v>293700000</v>
      </c>
      <c r="CC50" s="831">
        <v>293700000</v>
      </c>
      <c r="CD50" s="831">
        <v>293700000</v>
      </c>
      <c r="CE50" s="847">
        <f>989817193-230000000-22422109</f>
        <v>737395084</v>
      </c>
      <c r="CF50" s="831"/>
      <c r="CG50" s="831"/>
      <c r="CH50" s="831"/>
      <c r="CI50" s="852">
        <v>6452718</v>
      </c>
      <c r="CJ50" s="837"/>
      <c r="CK50" s="837"/>
      <c r="CL50" s="837"/>
      <c r="CM50" s="837">
        <v>230000000</v>
      </c>
      <c r="CN50" s="837">
        <v>230000000</v>
      </c>
      <c r="CO50" s="837">
        <v>115000000</v>
      </c>
      <c r="CP50" s="837">
        <v>115000000</v>
      </c>
      <c r="CQ50" s="836"/>
      <c r="CR50" s="837"/>
      <c r="CS50" s="837"/>
      <c r="CT50" s="837"/>
      <c r="CU50" s="836"/>
      <c r="CV50" s="837"/>
      <c r="CW50" s="837"/>
      <c r="CX50" s="837"/>
      <c r="CY50" s="836"/>
      <c r="CZ50" s="837"/>
      <c r="DA50" s="837"/>
      <c r="DB50" s="837"/>
      <c r="DC50" s="836"/>
      <c r="DD50" s="837"/>
      <c r="DE50" s="837"/>
      <c r="DF50" s="837"/>
      <c r="DG50" s="836"/>
      <c r="DH50" s="837"/>
      <c r="DI50" s="837"/>
      <c r="DJ50" s="837"/>
      <c r="DK50" s="836"/>
      <c r="DL50" s="837"/>
      <c r="DM50" s="837"/>
      <c r="DN50" s="837"/>
      <c r="DO50" s="836"/>
      <c r="DP50" s="837"/>
      <c r="DQ50" s="837"/>
      <c r="DR50" s="837"/>
      <c r="DS50" s="836"/>
      <c r="DT50" s="837"/>
      <c r="DU50" s="837"/>
      <c r="DV50" s="837"/>
      <c r="DW50" s="836"/>
      <c r="DX50" s="837"/>
      <c r="DY50" s="837"/>
      <c r="DZ50" s="837"/>
      <c r="EA50" s="843"/>
      <c r="EB50" s="843"/>
      <c r="EC50" s="837"/>
      <c r="ED50" s="837"/>
      <c r="EE50" s="832">
        <f t="shared" ref="EE50:EH60" si="65">+C50+G50+K50+O50+S50+W50+AA50+AE50+AI50+AM50+AQ50+AU50+AY50+BC50+BG50+BK50+BO50+BS50+BW50+CA50+CE50+CI50+CM50+CQ50+CU50+CY50+DC50+DG50+DK50+DO50+EA50+DS50+DW50</f>
        <v>3607389180</v>
      </c>
      <c r="EF50" s="832">
        <f t="shared" si="65"/>
        <v>523700000</v>
      </c>
      <c r="EG50" s="832">
        <f t="shared" si="65"/>
        <v>408700000</v>
      </c>
      <c r="EH50" s="832">
        <f t="shared" si="65"/>
        <v>408700000</v>
      </c>
      <c r="EI50" s="725">
        <f t="shared" si="4"/>
        <v>0</v>
      </c>
      <c r="EJ50" s="838"/>
      <c r="EK50" s="813"/>
    </row>
    <row r="51" spans="1:141" ht="25.5" customHeight="1" thickTop="1" thickBot="1" x14ac:dyDescent="0.3">
      <c r="A51" s="825" t="s">
        <v>1566</v>
      </c>
      <c r="B51" s="826">
        <f>+'Anexo 5.2. informe Gastos'!I139</f>
        <v>280000000</v>
      </c>
      <c r="C51" s="837"/>
      <c r="D51" s="837"/>
      <c r="E51" s="837"/>
      <c r="F51" s="837"/>
      <c r="G51" s="837"/>
      <c r="H51" s="837"/>
      <c r="I51" s="837"/>
      <c r="J51" s="837"/>
      <c r="K51" s="837"/>
      <c r="L51" s="837"/>
      <c r="M51" s="837"/>
      <c r="N51" s="837"/>
      <c r="O51" s="842"/>
      <c r="P51" s="842"/>
      <c r="Q51" s="837"/>
      <c r="R51" s="842"/>
      <c r="S51" s="842"/>
      <c r="T51" s="842"/>
      <c r="U51" s="837"/>
      <c r="V51" s="837"/>
      <c r="W51" s="837"/>
      <c r="X51" s="837"/>
      <c r="Y51" s="837"/>
      <c r="Z51" s="837"/>
      <c r="AA51" s="837"/>
      <c r="AB51" s="837"/>
      <c r="AC51" s="837"/>
      <c r="AD51" s="837"/>
      <c r="AE51" s="837"/>
      <c r="AF51" s="837"/>
      <c r="AG51" s="837"/>
      <c r="AH51" s="837"/>
      <c r="AI51" s="837"/>
      <c r="AJ51" s="837"/>
      <c r="AK51" s="837"/>
      <c r="AL51" s="837"/>
      <c r="AM51" s="837"/>
      <c r="AN51" s="837"/>
      <c r="AO51" s="837"/>
      <c r="AP51" s="837"/>
      <c r="AQ51" s="837"/>
      <c r="AR51" s="837"/>
      <c r="AS51" s="837"/>
      <c r="AT51" s="837"/>
      <c r="AU51" s="837"/>
      <c r="AV51" s="837"/>
      <c r="AW51" s="837"/>
      <c r="AX51" s="837"/>
      <c r="AY51" s="837"/>
      <c r="AZ51" s="837"/>
      <c r="BA51" s="837"/>
      <c r="BB51" s="837"/>
      <c r="BC51" s="837"/>
      <c r="BD51" s="837"/>
      <c r="BE51" s="837"/>
      <c r="BF51" s="837"/>
      <c r="BG51" s="837"/>
      <c r="BH51" s="837"/>
      <c r="BI51" s="837"/>
      <c r="BJ51" s="837"/>
      <c r="BK51" s="837"/>
      <c r="BL51" s="837"/>
      <c r="BM51" s="837"/>
      <c r="BN51" s="837"/>
      <c r="BO51" s="837"/>
      <c r="BP51" s="837"/>
      <c r="BQ51" s="837"/>
      <c r="BR51" s="837"/>
      <c r="BS51" s="837"/>
      <c r="BT51" s="837"/>
      <c r="BU51" s="837"/>
      <c r="BV51" s="837"/>
      <c r="BW51" s="837"/>
      <c r="BX51" s="837"/>
      <c r="BY51" s="837"/>
      <c r="BZ51" s="837"/>
      <c r="CA51" s="831"/>
      <c r="CB51" s="831"/>
      <c r="CC51" s="831"/>
      <c r="CD51" s="831"/>
      <c r="CE51" s="847">
        <v>280000000</v>
      </c>
      <c r="CF51" s="831">
        <v>280000000</v>
      </c>
      <c r="CG51" s="831">
        <v>280000000</v>
      </c>
      <c r="CH51" s="831">
        <v>280000000</v>
      </c>
      <c r="CI51" s="831"/>
      <c r="CJ51" s="837"/>
      <c r="CK51" s="837"/>
      <c r="CL51" s="837"/>
      <c r="CM51" s="836"/>
      <c r="CN51" s="837"/>
      <c r="CO51" s="837"/>
      <c r="CP51" s="837"/>
      <c r="CQ51" s="836"/>
      <c r="CR51" s="837"/>
      <c r="CS51" s="837"/>
      <c r="CT51" s="837"/>
      <c r="CU51" s="836"/>
      <c r="CV51" s="837"/>
      <c r="CW51" s="837"/>
      <c r="CX51" s="837"/>
      <c r="CY51" s="836"/>
      <c r="CZ51" s="837"/>
      <c r="DA51" s="837"/>
      <c r="DB51" s="837"/>
      <c r="DC51" s="836"/>
      <c r="DD51" s="837"/>
      <c r="DE51" s="837"/>
      <c r="DF51" s="837"/>
      <c r="DG51" s="836"/>
      <c r="DH51" s="837"/>
      <c r="DI51" s="837"/>
      <c r="DJ51" s="837"/>
      <c r="DK51" s="836"/>
      <c r="DL51" s="837"/>
      <c r="DM51" s="837"/>
      <c r="DN51" s="837"/>
      <c r="DO51" s="836"/>
      <c r="DP51" s="837"/>
      <c r="DQ51" s="837"/>
      <c r="DR51" s="837"/>
      <c r="DS51" s="836"/>
      <c r="DT51" s="837"/>
      <c r="DU51" s="837"/>
      <c r="DV51" s="837"/>
      <c r="DW51" s="836"/>
      <c r="DX51" s="837"/>
      <c r="DY51" s="837"/>
      <c r="DZ51" s="837"/>
      <c r="EA51" s="842"/>
      <c r="EB51" s="842"/>
      <c r="EC51" s="837"/>
      <c r="ED51" s="837"/>
      <c r="EE51" s="832">
        <f t="shared" si="65"/>
        <v>280000000</v>
      </c>
      <c r="EF51" s="832">
        <f t="shared" si="65"/>
        <v>280000000</v>
      </c>
      <c r="EG51" s="832">
        <f t="shared" si="65"/>
        <v>280000000</v>
      </c>
      <c r="EH51" s="832">
        <f t="shared" si="65"/>
        <v>280000000</v>
      </c>
      <c r="EI51" s="725">
        <f t="shared" si="4"/>
        <v>0</v>
      </c>
      <c r="EJ51" s="838"/>
      <c r="EK51" s="813"/>
    </row>
    <row r="52" spans="1:141" ht="16.5" thickTop="1" thickBot="1" x14ac:dyDescent="0.3">
      <c r="A52" s="853" t="s">
        <v>2568</v>
      </c>
      <c r="B52" s="826">
        <f>+'Anexo 5.2. informe Gastos'!I140</f>
        <v>50000000</v>
      </c>
      <c r="C52" s="837"/>
      <c r="D52" s="837"/>
      <c r="E52" s="837"/>
      <c r="F52" s="837"/>
      <c r="G52" s="837"/>
      <c r="H52" s="837"/>
      <c r="I52" s="837"/>
      <c r="J52" s="837"/>
      <c r="K52" s="837"/>
      <c r="L52" s="837"/>
      <c r="M52" s="837"/>
      <c r="N52" s="837"/>
      <c r="O52" s="842"/>
      <c r="P52" s="842"/>
      <c r="Q52" s="837"/>
      <c r="R52" s="842"/>
      <c r="S52" s="842"/>
      <c r="T52" s="842"/>
      <c r="U52" s="837"/>
      <c r="V52" s="837"/>
      <c r="W52" s="837"/>
      <c r="X52" s="837"/>
      <c r="Y52" s="837"/>
      <c r="Z52" s="837"/>
      <c r="AA52" s="837"/>
      <c r="AB52" s="837"/>
      <c r="AC52" s="837"/>
      <c r="AD52" s="837"/>
      <c r="AE52" s="837"/>
      <c r="AF52" s="837"/>
      <c r="AG52" s="837"/>
      <c r="AH52" s="837"/>
      <c r="AI52" s="837"/>
      <c r="AJ52" s="837"/>
      <c r="AK52" s="837"/>
      <c r="AL52" s="837"/>
      <c r="AM52" s="837"/>
      <c r="AN52" s="837"/>
      <c r="AO52" s="837"/>
      <c r="AP52" s="837"/>
      <c r="AQ52" s="837"/>
      <c r="AR52" s="837"/>
      <c r="AS52" s="837"/>
      <c r="AT52" s="837"/>
      <c r="AU52" s="837"/>
      <c r="AV52" s="837"/>
      <c r="AW52" s="837"/>
      <c r="AX52" s="837"/>
      <c r="AY52" s="837"/>
      <c r="AZ52" s="837"/>
      <c r="BA52" s="837"/>
      <c r="BB52" s="837"/>
      <c r="BC52" s="837"/>
      <c r="BD52" s="837"/>
      <c r="BE52" s="837"/>
      <c r="BF52" s="837"/>
      <c r="BG52" s="837"/>
      <c r="BH52" s="837"/>
      <c r="BI52" s="837"/>
      <c r="BJ52" s="837"/>
      <c r="BK52" s="837"/>
      <c r="BL52" s="837"/>
      <c r="BM52" s="837"/>
      <c r="BN52" s="837"/>
      <c r="BO52" s="837"/>
      <c r="BP52" s="837"/>
      <c r="BQ52" s="837"/>
      <c r="BR52" s="837"/>
      <c r="BS52" s="837"/>
      <c r="BT52" s="837"/>
      <c r="BU52" s="837"/>
      <c r="BV52" s="837"/>
      <c r="BW52" s="837"/>
      <c r="BX52" s="837"/>
      <c r="BY52" s="837"/>
      <c r="BZ52" s="837"/>
      <c r="CA52" s="831"/>
      <c r="CB52" s="831"/>
      <c r="CC52" s="831"/>
      <c r="CD52" s="831"/>
      <c r="CE52" s="847">
        <v>50000000</v>
      </c>
      <c r="CF52" s="831">
        <v>11623003</v>
      </c>
      <c r="CG52" s="831">
        <v>11623003</v>
      </c>
      <c r="CH52" s="831">
        <v>11623003</v>
      </c>
      <c r="CI52" s="837"/>
      <c r="CJ52" s="837"/>
      <c r="CK52" s="837"/>
      <c r="CL52" s="837"/>
      <c r="CM52" s="836"/>
      <c r="CN52" s="837"/>
      <c r="CO52" s="837"/>
      <c r="CP52" s="837"/>
      <c r="CQ52" s="836"/>
      <c r="CR52" s="837"/>
      <c r="CS52" s="837"/>
      <c r="CT52" s="837"/>
      <c r="CU52" s="836"/>
      <c r="CV52" s="837"/>
      <c r="CW52" s="837"/>
      <c r="CX52" s="837"/>
      <c r="CY52" s="836"/>
      <c r="CZ52" s="837"/>
      <c r="DA52" s="837"/>
      <c r="DB52" s="837"/>
      <c r="DC52" s="836"/>
      <c r="DD52" s="837"/>
      <c r="DE52" s="837"/>
      <c r="DF52" s="837"/>
      <c r="DG52" s="836"/>
      <c r="DH52" s="837"/>
      <c r="DI52" s="837"/>
      <c r="DJ52" s="837"/>
      <c r="DK52" s="836"/>
      <c r="DL52" s="837"/>
      <c r="DM52" s="837"/>
      <c r="DN52" s="837"/>
      <c r="DO52" s="836"/>
      <c r="DP52" s="837"/>
      <c r="DQ52" s="837"/>
      <c r="DR52" s="837"/>
      <c r="DS52" s="836"/>
      <c r="DT52" s="837"/>
      <c r="DU52" s="837"/>
      <c r="DV52" s="837"/>
      <c r="DW52" s="836"/>
      <c r="DX52" s="837"/>
      <c r="DY52" s="837"/>
      <c r="DZ52" s="837"/>
      <c r="EA52" s="842"/>
      <c r="EB52" s="842"/>
      <c r="EC52" s="837"/>
      <c r="ED52" s="837"/>
      <c r="EE52" s="832">
        <f t="shared" si="65"/>
        <v>50000000</v>
      </c>
      <c r="EF52" s="832">
        <f t="shared" si="65"/>
        <v>11623003</v>
      </c>
      <c r="EG52" s="832">
        <f t="shared" si="65"/>
        <v>11623003</v>
      </c>
      <c r="EH52" s="832">
        <f t="shared" si="65"/>
        <v>11623003</v>
      </c>
      <c r="EI52" s="725">
        <f t="shared" si="4"/>
        <v>0</v>
      </c>
      <c r="EJ52" s="838"/>
      <c r="EK52" s="813"/>
    </row>
    <row r="53" spans="1:141" ht="16.5" thickTop="1" thickBot="1" x14ac:dyDescent="0.3">
      <c r="A53" s="825" t="s">
        <v>1569</v>
      </c>
      <c r="B53" s="826">
        <f>+'Anexo 5.2. informe Gastos'!I141</f>
        <v>600000000</v>
      </c>
      <c r="C53" s="837"/>
      <c r="D53" s="837"/>
      <c r="E53" s="837"/>
      <c r="F53" s="837"/>
      <c r="G53" s="837"/>
      <c r="H53" s="837"/>
      <c r="I53" s="837"/>
      <c r="J53" s="837"/>
      <c r="K53" s="837"/>
      <c r="L53" s="837"/>
      <c r="M53" s="837"/>
      <c r="N53" s="837"/>
      <c r="O53" s="842"/>
      <c r="P53" s="842"/>
      <c r="Q53" s="837"/>
      <c r="R53" s="842"/>
      <c r="S53" s="842"/>
      <c r="T53" s="842"/>
      <c r="U53" s="837"/>
      <c r="V53" s="837"/>
      <c r="W53" s="837"/>
      <c r="X53" s="837"/>
      <c r="Y53" s="837"/>
      <c r="Z53" s="837"/>
      <c r="AA53" s="837"/>
      <c r="AB53" s="837"/>
      <c r="AC53" s="837"/>
      <c r="AD53" s="837"/>
      <c r="AE53" s="837"/>
      <c r="AF53" s="837"/>
      <c r="AG53" s="837"/>
      <c r="AH53" s="837"/>
      <c r="AI53" s="837"/>
      <c r="AJ53" s="837"/>
      <c r="AK53" s="837"/>
      <c r="AL53" s="837"/>
      <c r="AM53" s="837"/>
      <c r="AN53" s="837"/>
      <c r="AO53" s="837"/>
      <c r="AP53" s="837"/>
      <c r="AQ53" s="837"/>
      <c r="AR53" s="837"/>
      <c r="AS53" s="837"/>
      <c r="AT53" s="837"/>
      <c r="AU53" s="837"/>
      <c r="AV53" s="837"/>
      <c r="AW53" s="837"/>
      <c r="AX53" s="837"/>
      <c r="AY53" s="837"/>
      <c r="AZ53" s="837"/>
      <c r="BA53" s="837"/>
      <c r="BB53" s="837"/>
      <c r="BC53" s="837"/>
      <c r="BD53" s="837"/>
      <c r="BE53" s="837"/>
      <c r="BF53" s="837"/>
      <c r="BG53" s="837"/>
      <c r="BH53" s="837"/>
      <c r="BI53" s="837"/>
      <c r="BJ53" s="837"/>
      <c r="BK53" s="837"/>
      <c r="BL53" s="837"/>
      <c r="BM53" s="837"/>
      <c r="BN53" s="837"/>
      <c r="BO53" s="837"/>
      <c r="BP53" s="837"/>
      <c r="BQ53" s="837"/>
      <c r="BR53" s="837"/>
      <c r="BS53" s="837"/>
      <c r="BT53" s="837"/>
      <c r="BU53" s="837"/>
      <c r="BV53" s="837"/>
      <c r="BW53" s="837"/>
      <c r="BX53" s="837"/>
      <c r="BY53" s="837"/>
      <c r="BZ53" s="837"/>
      <c r="CA53" s="831"/>
      <c r="CB53" s="831"/>
      <c r="CC53" s="831"/>
      <c r="CD53" s="831"/>
      <c r="CE53" s="847">
        <v>600000000</v>
      </c>
      <c r="CF53" s="831">
        <v>600000000</v>
      </c>
      <c r="CG53" s="831">
        <v>540000000</v>
      </c>
      <c r="CH53" s="831">
        <v>540000000</v>
      </c>
      <c r="CI53" s="837"/>
      <c r="CJ53" s="837"/>
      <c r="CK53" s="837"/>
      <c r="CL53" s="837"/>
      <c r="CM53" s="836"/>
      <c r="CN53" s="837"/>
      <c r="CO53" s="837"/>
      <c r="CP53" s="837"/>
      <c r="CQ53" s="836"/>
      <c r="CR53" s="837"/>
      <c r="CS53" s="837"/>
      <c r="CT53" s="837"/>
      <c r="CU53" s="836"/>
      <c r="CV53" s="837"/>
      <c r="CW53" s="837"/>
      <c r="CX53" s="837"/>
      <c r="CY53" s="836"/>
      <c r="CZ53" s="837"/>
      <c r="DA53" s="837"/>
      <c r="DB53" s="837"/>
      <c r="DC53" s="836"/>
      <c r="DD53" s="837"/>
      <c r="DE53" s="837"/>
      <c r="DF53" s="837"/>
      <c r="DG53" s="836"/>
      <c r="DH53" s="837"/>
      <c r="DI53" s="837"/>
      <c r="DJ53" s="837"/>
      <c r="DK53" s="836"/>
      <c r="DL53" s="837"/>
      <c r="DM53" s="837"/>
      <c r="DN53" s="837"/>
      <c r="DO53" s="836"/>
      <c r="DP53" s="837"/>
      <c r="DQ53" s="837"/>
      <c r="DR53" s="837"/>
      <c r="DS53" s="836"/>
      <c r="DT53" s="837"/>
      <c r="DU53" s="837"/>
      <c r="DV53" s="837"/>
      <c r="DW53" s="836"/>
      <c r="DX53" s="837"/>
      <c r="DY53" s="837"/>
      <c r="DZ53" s="837"/>
      <c r="EA53" s="842"/>
      <c r="EB53" s="842"/>
      <c r="EC53" s="837"/>
      <c r="ED53" s="837"/>
      <c r="EE53" s="832">
        <f t="shared" si="65"/>
        <v>600000000</v>
      </c>
      <c r="EF53" s="832">
        <f t="shared" si="65"/>
        <v>600000000</v>
      </c>
      <c r="EG53" s="832">
        <f t="shared" si="65"/>
        <v>540000000</v>
      </c>
      <c r="EH53" s="832">
        <f t="shared" si="65"/>
        <v>540000000</v>
      </c>
      <c r="EI53" s="725">
        <f t="shared" si="4"/>
        <v>0</v>
      </c>
      <c r="EJ53" s="838"/>
      <c r="EK53" s="813"/>
    </row>
    <row r="54" spans="1:141" ht="20.25" customHeight="1" thickTop="1" thickBot="1" x14ac:dyDescent="0.3">
      <c r="A54" s="825" t="s">
        <v>1570</v>
      </c>
      <c r="B54" s="826">
        <f>+'Anexo 5.2. informe Gastos'!I142</f>
        <v>1252422109</v>
      </c>
      <c r="C54" s="837"/>
      <c r="D54" s="837"/>
      <c r="E54" s="837"/>
      <c r="F54" s="837"/>
      <c r="G54" s="837"/>
      <c r="H54" s="837"/>
      <c r="I54" s="837"/>
      <c r="J54" s="837"/>
      <c r="K54" s="837"/>
      <c r="L54" s="837"/>
      <c r="M54" s="837"/>
      <c r="N54" s="837"/>
      <c r="O54" s="842"/>
      <c r="P54" s="842"/>
      <c r="Q54" s="837"/>
      <c r="R54" s="842"/>
      <c r="S54" s="842"/>
      <c r="T54" s="842"/>
      <c r="U54" s="837"/>
      <c r="V54" s="837"/>
      <c r="W54" s="837"/>
      <c r="X54" s="837"/>
      <c r="Y54" s="837"/>
      <c r="Z54" s="837"/>
      <c r="AA54" s="837"/>
      <c r="AB54" s="837"/>
      <c r="AC54" s="837"/>
      <c r="AD54" s="837"/>
      <c r="AE54" s="837"/>
      <c r="AF54" s="837"/>
      <c r="AG54" s="837"/>
      <c r="AH54" s="837"/>
      <c r="AI54" s="837"/>
      <c r="AJ54" s="837"/>
      <c r="AK54" s="837"/>
      <c r="AL54" s="837"/>
      <c r="AM54" s="837"/>
      <c r="AN54" s="837"/>
      <c r="AO54" s="837"/>
      <c r="AP54" s="837"/>
      <c r="AQ54" s="837"/>
      <c r="AR54" s="837"/>
      <c r="AS54" s="837"/>
      <c r="AT54" s="837"/>
      <c r="AU54" s="837"/>
      <c r="AV54" s="837"/>
      <c r="AW54" s="837"/>
      <c r="AX54" s="837"/>
      <c r="AY54" s="837"/>
      <c r="AZ54" s="837"/>
      <c r="BA54" s="837"/>
      <c r="BB54" s="837"/>
      <c r="BC54" s="837"/>
      <c r="BD54" s="837"/>
      <c r="BE54" s="837"/>
      <c r="BF54" s="837"/>
      <c r="BG54" s="837"/>
      <c r="BH54" s="837"/>
      <c r="BI54" s="837"/>
      <c r="BJ54" s="837"/>
      <c r="BK54" s="837"/>
      <c r="BL54" s="837"/>
      <c r="BM54" s="837"/>
      <c r="BN54" s="837"/>
      <c r="BO54" s="837"/>
      <c r="BP54" s="837"/>
      <c r="BQ54" s="837"/>
      <c r="BR54" s="837"/>
      <c r="BS54" s="837"/>
      <c r="BT54" s="837"/>
      <c r="BU54" s="837"/>
      <c r="BV54" s="837"/>
      <c r="BW54" s="837"/>
      <c r="BX54" s="837"/>
      <c r="BY54" s="837"/>
      <c r="BZ54" s="837"/>
      <c r="CA54" s="831"/>
      <c r="CB54" s="837"/>
      <c r="CC54" s="837"/>
      <c r="CD54" s="837"/>
      <c r="CE54" s="847">
        <v>1252422109</v>
      </c>
      <c r="CF54" s="837"/>
      <c r="CG54" s="837"/>
      <c r="CH54" s="837"/>
      <c r="CI54" s="837"/>
      <c r="CJ54" s="837"/>
      <c r="CK54" s="837"/>
      <c r="CL54" s="837"/>
      <c r="CM54" s="836"/>
      <c r="CN54" s="837"/>
      <c r="CO54" s="837"/>
      <c r="CP54" s="837"/>
      <c r="CQ54" s="836"/>
      <c r="CR54" s="837"/>
      <c r="CS54" s="837"/>
      <c r="CT54" s="837"/>
      <c r="CU54" s="836"/>
      <c r="CV54" s="837"/>
      <c r="CW54" s="837"/>
      <c r="CX54" s="837"/>
      <c r="CY54" s="836"/>
      <c r="CZ54" s="837"/>
      <c r="DA54" s="837"/>
      <c r="DB54" s="837"/>
      <c r="DC54" s="836"/>
      <c r="DD54" s="837"/>
      <c r="DE54" s="837"/>
      <c r="DF54" s="837"/>
      <c r="DG54" s="836"/>
      <c r="DH54" s="837"/>
      <c r="DI54" s="837"/>
      <c r="DJ54" s="837"/>
      <c r="DK54" s="836"/>
      <c r="DL54" s="837"/>
      <c r="DM54" s="837"/>
      <c r="DN54" s="837"/>
      <c r="DO54" s="836"/>
      <c r="DP54" s="837"/>
      <c r="DQ54" s="837"/>
      <c r="DR54" s="837"/>
      <c r="DS54" s="836"/>
      <c r="DT54" s="837"/>
      <c r="DU54" s="837"/>
      <c r="DV54" s="837"/>
      <c r="DW54" s="836"/>
      <c r="DX54" s="837"/>
      <c r="DY54" s="837"/>
      <c r="DZ54" s="837"/>
      <c r="EA54" s="842"/>
      <c r="EB54" s="842"/>
      <c r="EC54" s="837"/>
      <c r="ED54" s="837"/>
      <c r="EE54" s="832">
        <f t="shared" si="65"/>
        <v>1252422109</v>
      </c>
      <c r="EF54" s="832">
        <f t="shared" si="65"/>
        <v>0</v>
      </c>
      <c r="EG54" s="832">
        <f t="shared" si="65"/>
        <v>0</v>
      </c>
      <c r="EH54" s="832">
        <f t="shared" si="65"/>
        <v>0</v>
      </c>
      <c r="EI54" s="725">
        <f t="shared" si="4"/>
        <v>0</v>
      </c>
      <c r="EK54" s="813"/>
    </row>
    <row r="55" spans="1:141" ht="28.5" thickTop="1" thickBot="1" x14ac:dyDescent="0.3">
      <c r="A55" s="818" t="s">
        <v>1575</v>
      </c>
      <c r="B55" s="819">
        <f>+B56</f>
        <v>100000000</v>
      </c>
      <c r="C55" s="819">
        <f t="shared" ref="C55:CE55" si="66">+C56</f>
        <v>0</v>
      </c>
      <c r="D55" s="819">
        <f t="shared" si="66"/>
        <v>0</v>
      </c>
      <c r="E55" s="819">
        <f t="shared" si="66"/>
        <v>0</v>
      </c>
      <c r="F55" s="819">
        <f t="shared" si="66"/>
        <v>0</v>
      </c>
      <c r="G55" s="819">
        <f t="shared" si="66"/>
        <v>0</v>
      </c>
      <c r="H55" s="819">
        <f t="shared" si="66"/>
        <v>0</v>
      </c>
      <c r="I55" s="819">
        <f t="shared" si="66"/>
        <v>0</v>
      </c>
      <c r="J55" s="819">
        <f t="shared" si="66"/>
        <v>0</v>
      </c>
      <c r="K55" s="819">
        <f t="shared" si="66"/>
        <v>0</v>
      </c>
      <c r="L55" s="819">
        <f t="shared" si="66"/>
        <v>0</v>
      </c>
      <c r="M55" s="819">
        <f t="shared" si="66"/>
        <v>0</v>
      </c>
      <c r="N55" s="819">
        <f t="shared" si="66"/>
        <v>0</v>
      </c>
      <c r="O55" s="819">
        <f t="shared" si="66"/>
        <v>0</v>
      </c>
      <c r="P55" s="819">
        <f t="shared" si="66"/>
        <v>0</v>
      </c>
      <c r="Q55" s="819">
        <f t="shared" si="66"/>
        <v>0</v>
      </c>
      <c r="R55" s="819">
        <f t="shared" si="66"/>
        <v>0</v>
      </c>
      <c r="S55" s="819">
        <f t="shared" si="66"/>
        <v>0</v>
      </c>
      <c r="T55" s="819">
        <f t="shared" si="66"/>
        <v>0</v>
      </c>
      <c r="U55" s="819">
        <f t="shared" si="66"/>
        <v>0</v>
      </c>
      <c r="V55" s="819">
        <f t="shared" si="66"/>
        <v>0</v>
      </c>
      <c r="W55" s="819">
        <f t="shared" si="66"/>
        <v>0</v>
      </c>
      <c r="X55" s="819">
        <f t="shared" si="66"/>
        <v>0</v>
      </c>
      <c r="Y55" s="819">
        <f t="shared" si="66"/>
        <v>0</v>
      </c>
      <c r="Z55" s="819">
        <f t="shared" si="66"/>
        <v>0</v>
      </c>
      <c r="AA55" s="819">
        <f t="shared" si="66"/>
        <v>0</v>
      </c>
      <c r="AB55" s="819">
        <f t="shared" si="66"/>
        <v>0</v>
      </c>
      <c r="AC55" s="819">
        <f t="shared" si="66"/>
        <v>0</v>
      </c>
      <c r="AD55" s="819">
        <f t="shared" si="66"/>
        <v>0</v>
      </c>
      <c r="AE55" s="819">
        <f t="shared" si="66"/>
        <v>0</v>
      </c>
      <c r="AF55" s="819">
        <f t="shared" si="66"/>
        <v>0</v>
      </c>
      <c r="AG55" s="819">
        <f t="shared" si="66"/>
        <v>0</v>
      </c>
      <c r="AH55" s="819">
        <f t="shared" si="66"/>
        <v>0</v>
      </c>
      <c r="AI55" s="819">
        <f t="shared" si="66"/>
        <v>0</v>
      </c>
      <c r="AJ55" s="819">
        <f t="shared" si="66"/>
        <v>0</v>
      </c>
      <c r="AK55" s="819">
        <f t="shared" si="66"/>
        <v>0</v>
      </c>
      <c r="AL55" s="819">
        <f t="shared" si="66"/>
        <v>0</v>
      </c>
      <c r="AM55" s="819">
        <f t="shared" si="66"/>
        <v>0</v>
      </c>
      <c r="AN55" s="819">
        <f t="shared" si="66"/>
        <v>0</v>
      </c>
      <c r="AO55" s="819">
        <f t="shared" si="66"/>
        <v>0</v>
      </c>
      <c r="AP55" s="819">
        <f t="shared" si="66"/>
        <v>0</v>
      </c>
      <c r="AQ55" s="819">
        <f t="shared" si="66"/>
        <v>0</v>
      </c>
      <c r="AR55" s="819">
        <f t="shared" si="66"/>
        <v>0</v>
      </c>
      <c r="AS55" s="819">
        <f t="shared" si="66"/>
        <v>0</v>
      </c>
      <c r="AT55" s="819">
        <f t="shared" si="66"/>
        <v>0</v>
      </c>
      <c r="AU55" s="819">
        <f t="shared" si="66"/>
        <v>0</v>
      </c>
      <c r="AV55" s="819">
        <f t="shared" si="66"/>
        <v>0</v>
      </c>
      <c r="AW55" s="819">
        <f t="shared" si="66"/>
        <v>0</v>
      </c>
      <c r="AX55" s="819">
        <f t="shared" si="66"/>
        <v>0</v>
      </c>
      <c r="AY55" s="819">
        <f t="shared" si="66"/>
        <v>0</v>
      </c>
      <c r="AZ55" s="819">
        <f t="shared" si="66"/>
        <v>0</v>
      </c>
      <c r="BA55" s="819">
        <f t="shared" si="66"/>
        <v>0</v>
      </c>
      <c r="BB55" s="819">
        <f t="shared" si="66"/>
        <v>0</v>
      </c>
      <c r="BC55" s="819">
        <f t="shared" si="66"/>
        <v>0</v>
      </c>
      <c r="BD55" s="819">
        <f t="shared" si="66"/>
        <v>0</v>
      </c>
      <c r="BE55" s="819">
        <f t="shared" si="66"/>
        <v>0</v>
      </c>
      <c r="BF55" s="819">
        <f t="shared" si="66"/>
        <v>0</v>
      </c>
      <c r="BG55" s="819">
        <f t="shared" si="66"/>
        <v>0</v>
      </c>
      <c r="BH55" s="819">
        <f t="shared" si="66"/>
        <v>0</v>
      </c>
      <c r="BI55" s="819">
        <f t="shared" si="66"/>
        <v>0</v>
      </c>
      <c r="BJ55" s="819">
        <f t="shared" si="66"/>
        <v>0</v>
      </c>
      <c r="BK55" s="819">
        <f t="shared" si="66"/>
        <v>0</v>
      </c>
      <c r="BL55" s="819">
        <f t="shared" si="66"/>
        <v>0</v>
      </c>
      <c r="BM55" s="819">
        <f t="shared" si="66"/>
        <v>0</v>
      </c>
      <c r="BN55" s="819">
        <f t="shared" si="66"/>
        <v>0</v>
      </c>
      <c r="BO55" s="819">
        <f t="shared" si="66"/>
        <v>0</v>
      </c>
      <c r="BP55" s="819">
        <f t="shared" si="66"/>
        <v>0</v>
      </c>
      <c r="BQ55" s="819">
        <f t="shared" si="66"/>
        <v>0</v>
      </c>
      <c r="BR55" s="819">
        <f t="shared" si="66"/>
        <v>0</v>
      </c>
      <c r="BS55" s="819">
        <f t="shared" si="66"/>
        <v>0</v>
      </c>
      <c r="BT55" s="819">
        <f t="shared" si="66"/>
        <v>0</v>
      </c>
      <c r="BU55" s="819">
        <f t="shared" si="66"/>
        <v>0</v>
      </c>
      <c r="BV55" s="819">
        <f t="shared" si="66"/>
        <v>0</v>
      </c>
      <c r="BW55" s="819">
        <f t="shared" si="66"/>
        <v>0</v>
      </c>
      <c r="BX55" s="819">
        <f t="shared" si="66"/>
        <v>0</v>
      </c>
      <c r="BY55" s="819">
        <f t="shared" si="66"/>
        <v>0</v>
      </c>
      <c r="BZ55" s="819">
        <f t="shared" si="66"/>
        <v>0</v>
      </c>
      <c r="CA55" s="819">
        <f t="shared" si="66"/>
        <v>0</v>
      </c>
      <c r="CB55" s="819">
        <f t="shared" si="66"/>
        <v>0</v>
      </c>
      <c r="CC55" s="819">
        <f t="shared" si="66"/>
        <v>0</v>
      </c>
      <c r="CD55" s="819">
        <f t="shared" si="66"/>
        <v>0</v>
      </c>
      <c r="CE55" s="819">
        <f t="shared" si="66"/>
        <v>0</v>
      </c>
      <c r="CF55" s="819">
        <f t="shared" ref="CF55:CL55" si="67">+CF56</f>
        <v>0</v>
      </c>
      <c r="CG55" s="819">
        <f t="shared" si="67"/>
        <v>0</v>
      </c>
      <c r="CH55" s="819">
        <f t="shared" si="67"/>
        <v>0</v>
      </c>
      <c r="CI55" s="819">
        <f t="shared" si="67"/>
        <v>0</v>
      </c>
      <c r="CJ55" s="819">
        <f t="shared" si="67"/>
        <v>0</v>
      </c>
      <c r="CK55" s="819">
        <f t="shared" si="67"/>
        <v>0</v>
      </c>
      <c r="CL55" s="819">
        <f t="shared" si="67"/>
        <v>0</v>
      </c>
      <c r="CM55" s="819">
        <f>+CM56</f>
        <v>82875522</v>
      </c>
      <c r="CN55" s="819">
        <f>+CN56</f>
        <v>22403408</v>
      </c>
      <c r="CO55" s="819">
        <f>+CO56</f>
        <v>11490874</v>
      </c>
      <c r="CP55" s="819">
        <f>+CP56</f>
        <v>11490874</v>
      </c>
      <c r="CQ55" s="819">
        <f>+CQ56</f>
        <v>17124478</v>
      </c>
      <c r="CR55" s="819">
        <f t="shared" ref="CR55:DB55" si="68">+CR56</f>
        <v>0</v>
      </c>
      <c r="CS55" s="819">
        <f t="shared" si="68"/>
        <v>0</v>
      </c>
      <c r="CT55" s="819">
        <f t="shared" si="68"/>
        <v>0</v>
      </c>
      <c r="CU55" s="819">
        <f>+CU56</f>
        <v>0</v>
      </c>
      <c r="CV55" s="819">
        <f t="shared" si="68"/>
        <v>0</v>
      </c>
      <c r="CW55" s="819">
        <f t="shared" si="68"/>
        <v>0</v>
      </c>
      <c r="CX55" s="819">
        <f t="shared" si="68"/>
        <v>0</v>
      </c>
      <c r="CY55" s="819">
        <f>+CY56</f>
        <v>0</v>
      </c>
      <c r="CZ55" s="819">
        <f t="shared" si="68"/>
        <v>0</v>
      </c>
      <c r="DA55" s="819">
        <f t="shared" si="68"/>
        <v>0</v>
      </c>
      <c r="DB55" s="819">
        <f t="shared" si="68"/>
        <v>0</v>
      </c>
      <c r="DC55" s="819">
        <f>+DC56</f>
        <v>0</v>
      </c>
      <c r="DD55" s="819">
        <f t="shared" ref="DD55:ED55" si="69">+DD56</f>
        <v>0</v>
      </c>
      <c r="DE55" s="819">
        <f t="shared" si="69"/>
        <v>0</v>
      </c>
      <c r="DF55" s="819">
        <f t="shared" si="69"/>
        <v>0</v>
      </c>
      <c r="DG55" s="819">
        <f>+DG56</f>
        <v>0</v>
      </c>
      <c r="DH55" s="819">
        <f t="shared" si="69"/>
        <v>0</v>
      </c>
      <c r="DI55" s="819">
        <f t="shared" si="69"/>
        <v>0</v>
      </c>
      <c r="DJ55" s="819">
        <f t="shared" si="69"/>
        <v>0</v>
      </c>
      <c r="DK55" s="819">
        <f>+DK56</f>
        <v>0</v>
      </c>
      <c r="DL55" s="819">
        <f t="shared" si="69"/>
        <v>0</v>
      </c>
      <c r="DM55" s="819">
        <f t="shared" si="69"/>
        <v>0</v>
      </c>
      <c r="DN55" s="819">
        <f t="shared" si="69"/>
        <v>0</v>
      </c>
      <c r="DO55" s="819">
        <f>+DO56</f>
        <v>0</v>
      </c>
      <c r="DP55" s="819">
        <f t="shared" si="69"/>
        <v>0</v>
      </c>
      <c r="DQ55" s="819">
        <f t="shared" si="69"/>
        <v>0</v>
      </c>
      <c r="DR55" s="819">
        <f t="shared" si="69"/>
        <v>0</v>
      </c>
      <c r="DS55" s="819">
        <f>+DS56</f>
        <v>0</v>
      </c>
      <c r="DT55" s="819">
        <f t="shared" si="69"/>
        <v>0</v>
      </c>
      <c r="DU55" s="819">
        <f t="shared" si="69"/>
        <v>0</v>
      </c>
      <c r="DV55" s="819">
        <f t="shared" si="69"/>
        <v>0</v>
      </c>
      <c r="DW55" s="819">
        <f>+DW56</f>
        <v>0</v>
      </c>
      <c r="DX55" s="819">
        <f t="shared" si="69"/>
        <v>0</v>
      </c>
      <c r="DY55" s="819">
        <f t="shared" si="69"/>
        <v>0</v>
      </c>
      <c r="DZ55" s="819">
        <f t="shared" si="69"/>
        <v>0</v>
      </c>
      <c r="EA55" s="819">
        <f t="shared" si="69"/>
        <v>0</v>
      </c>
      <c r="EB55" s="819">
        <f t="shared" si="69"/>
        <v>0</v>
      </c>
      <c r="EC55" s="819">
        <f t="shared" si="69"/>
        <v>0</v>
      </c>
      <c r="ED55" s="819">
        <f t="shared" si="69"/>
        <v>0</v>
      </c>
      <c r="EE55" s="820">
        <f t="shared" si="65"/>
        <v>100000000</v>
      </c>
      <c r="EF55" s="820">
        <f t="shared" si="65"/>
        <v>22403408</v>
      </c>
      <c r="EG55" s="820">
        <f t="shared" si="65"/>
        <v>11490874</v>
      </c>
      <c r="EH55" s="820">
        <f t="shared" si="65"/>
        <v>11490874</v>
      </c>
      <c r="EI55" s="821">
        <f t="shared" si="4"/>
        <v>0</v>
      </c>
      <c r="EK55" s="813"/>
    </row>
    <row r="56" spans="1:141" ht="27" thickTop="1" thickBot="1" x14ac:dyDescent="0.3">
      <c r="A56" s="822" t="s">
        <v>1576</v>
      </c>
      <c r="B56" s="823">
        <f t="shared" ref="B56:BM56" si="70">SUM(B57:B57)</f>
        <v>100000000</v>
      </c>
      <c r="C56" s="823">
        <f t="shared" si="70"/>
        <v>0</v>
      </c>
      <c r="D56" s="823">
        <f t="shared" si="70"/>
        <v>0</v>
      </c>
      <c r="E56" s="823">
        <f t="shared" si="70"/>
        <v>0</v>
      </c>
      <c r="F56" s="823">
        <f t="shared" si="70"/>
        <v>0</v>
      </c>
      <c r="G56" s="823">
        <f t="shared" si="70"/>
        <v>0</v>
      </c>
      <c r="H56" s="823">
        <f t="shared" si="70"/>
        <v>0</v>
      </c>
      <c r="I56" s="823">
        <f t="shared" si="70"/>
        <v>0</v>
      </c>
      <c r="J56" s="823">
        <f t="shared" si="70"/>
        <v>0</v>
      </c>
      <c r="K56" s="823">
        <f t="shared" si="70"/>
        <v>0</v>
      </c>
      <c r="L56" s="823">
        <f t="shared" si="70"/>
        <v>0</v>
      </c>
      <c r="M56" s="823">
        <f t="shared" si="70"/>
        <v>0</v>
      </c>
      <c r="N56" s="823">
        <f t="shared" si="70"/>
        <v>0</v>
      </c>
      <c r="O56" s="823">
        <f t="shared" si="70"/>
        <v>0</v>
      </c>
      <c r="P56" s="823">
        <f t="shared" si="70"/>
        <v>0</v>
      </c>
      <c r="Q56" s="823">
        <f t="shared" si="70"/>
        <v>0</v>
      </c>
      <c r="R56" s="823">
        <f t="shared" si="70"/>
        <v>0</v>
      </c>
      <c r="S56" s="823">
        <f t="shared" si="70"/>
        <v>0</v>
      </c>
      <c r="T56" s="823">
        <f t="shared" si="70"/>
        <v>0</v>
      </c>
      <c r="U56" s="823">
        <f t="shared" si="70"/>
        <v>0</v>
      </c>
      <c r="V56" s="823">
        <f t="shared" si="70"/>
        <v>0</v>
      </c>
      <c r="W56" s="823">
        <f t="shared" si="70"/>
        <v>0</v>
      </c>
      <c r="X56" s="823">
        <f t="shared" si="70"/>
        <v>0</v>
      </c>
      <c r="Y56" s="823">
        <f t="shared" si="70"/>
        <v>0</v>
      </c>
      <c r="Z56" s="823">
        <f t="shared" si="70"/>
        <v>0</v>
      </c>
      <c r="AA56" s="823">
        <f t="shared" si="70"/>
        <v>0</v>
      </c>
      <c r="AB56" s="823">
        <f t="shared" si="70"/>
        <v>0</v>
      </c>
      <c r="AC56" s="823">
        <f t="shared" si="70"/>
        <v>0</v>
      </c>
      <c r="AD56" s="823">
        <f t="shared" si="70"/>
        <v>0</v>
      </c>
      <c r="AE56" s="823">
        <f t="shared" si="70"/>
        <v>0</v>
      </c>
      <c r="AF56" s="823">
        <f t="shared" si="70"/>
        <v>0</v>
      </c>
      <c r="AG56" s="823">
        <f t="shared" si="70"/>
        <v>0</v>
      </c>
      <c r="AH56" s="823">
        <f t="shared" si="70"/>
        <v>0</v>
      </c>
      <c r="AI56" s="823">
        <f t="shared" si="70"/>
        <v>0</v>
      </c>
      <c r="AJ56" s="823">
        <f t="shared" si="70"/>
        <v>0</v>
      </c>
      <c r="AK56" s="823">
        <f t="shared" si="70"/>
        <v>0</v>
      </c>
      <c r="AL56" s="823">
        <f t="shared" si="70"/>
        <v>0</v>
      </c>
      <c r="AM56" s="823">
        <f t="shared" si="70"/>
        <v>0</v>
      </c>
      <c r="AN56" s="823">
        <f t="shared" si="70"/>
        <v>0</v>
      </c>
      <c r="AO56" s="823">
        <f t="shared" si="70"/>
        <v>0</v>
      </c>
      <c r="AP56" s="823">
        <f t="shared" si="70"/>
        <v>0</v>
      </c>
      <c r="AQ56" s="823">
        <f t="shared" si="70"/>
        <v>0</v>
      </c>
      <c r="AR56" s="823">
        <f t="shared" si="70"/>
        <v>0</v>
      </c>
      <c r="AS56" s="823">
        <f t="shared" si="70"/>
        <v>0</v>
      </c>
      <c r="AT56" s="823">
        <f t="shared" si="70"/>
        <v>0</v>
      </c>
      <c r="AU56" s="823">
        <f t="shared" si="70"/>
        <v>0</v>
      </c>
      <c r="AV56" s="823">
        <f t="shared" si="70"/>
        <v>0</v>
      </c>
      <c r="AW56" s="823">
        <f t="shared" si="70"/>
        <v>0</v>
      </c>
      <c r="AX56" s="823">
        <f t="shared" si="70"/>
        <v>0</v>
      </c>
      <c r="AY56" s="823">
        <f t="shared" si="70"/>
        <v>0</v>
      </c>
      <c r="AZ56" s="823">
        <f t="shared" si="70"/>
        <v>0</v>
      </c>
      <c r="BA56" s="823">
        <f t="shared" si="70"/>
        <v>0</v>
      </c>
      <c r="BB56" s="823">
        <f t="shared" si="70"/>
        <v>0</v>
      </c>
      <c r="BC56" s="823">
        <f t="shared" si="70"/>
        <v>0</v>
      </c>
      <c r="BD56" s="823">
        <f t="shared" si="70"/>
        <v>0</v>
      </c>
      <c r="BE56" s="823">
        <f t="shared" si="70"/>
        <v>0</v>
      </c>
      <c r="BF56" s="823">
        <f t="shared" si="70"/>
        <v>0</v>
      </c>
      <c r="BG56" s="823">
        <f t="shared" si="70"/>
        <v>0</v>
      </c>
      <c r="BH56" s="823">
        <f t="shared" si="70"/>
        <v>0</v>
      </c>
      <c r="BI56" s="823">
        <f t="shared" si="70"/>
        <v>0</v>
      </c>
      <c r="BJ56" s="823">
        <f t="shared" si="70"/>
        <v>0</v>
      </c>
      <c r="BK56" s="823">
        <f t="shared" si="70"/>
        <v>0</v>
      </c>
      <c r="BL56" s="823">
        <f t="shared" si="70"/>
        <v>0</v>
      </c>
      <c r="BM56" s="823">
        <f t="shared" si="70"/>
        <v>0</v>
      </c>
      <c r="BN56" s="823">
        <f t="shared" ref="BN56:ED56" si="71">SUM(BN57:BN57)</f>
        <v>0</v>
      </c>
      <c r="BO56" s="823">
        <f t="shared" si="71"/>
        <v>0</v>
      </c>
      <c r="BP56" s="823">
        <f t="shared" si="71"/>
        <v>0</v>
      </c>
      <c r="BQ56" s="823">
        <f t="shared" si="71"/>
        <v>0</v>
      </c>
      <c r="BR56" s="823">
        <f t="shared" si="71"/>
        <v>0</v>
      </c>
      <c r="BS56" s="823">
        <f t="shared" si="71"/>
        <v>0</v>
      </c>
      <c r="BT56" s="823">
        <f t="shared" si="71"/>
        <v>0</v>
      </c>
      <c r="BU56" s="823">
        <f t="shared" si="71"/>
        <v>0</v>
      </c>
      <c r="BV56" s="823">
        <f t="shared" si="71"/>
        <v>0</v>
      </c>
      <c r="BW56" s="823">
        <f t="shared" si="71"/>
        <v>0</v>
      </c>
      <c r="BX56" s="823">
        <f t="shared" si="71"/>
        <v>0</v>
      </c>
      <c r="BY56" s="823">
        <f t="shared" si="71"/>
        <v>0</v>
      </c>
      <c r="BZ56" s="823">
        <f t="shared" si="71"/>
        <v>0</v>
      </c>
      <c r="CA56" s="823">
        <f t="shared" si="71"/>
        <v>0</v>
      </c>
      <c r="CB56" s="823">
        <f t="shared" si="71"/>
        <v>0</v>
      </c>
      <c r="CC56" s="823">
        <f t="shared" si="71"/>
        <v>0</v>
      </c>
      <c r="CD56" s="823">
        <f t="shared" si="71"/>
        <v>0</v>
      </c>
      <c r="CE56" s="823">
        <f t="shared" si="71"/>
        <v>0</v>
      </c>
      <c r="CF56" s="823">
        <f t="shared" si="71"/>
        <v>0</v>
      </c>
      <c r="CG56" s="823">
        <f t="shared" si="71"/>
        <v>0</v>
      </c>
      <c r="CH56" s="823">
        <f t="shared" si="71"/>
        <v>0</v>
      </c>
      <c r="CI56" s="823">
        <f t="shared" si="71"/>
        <v>0</v>
      </c>
      <c r="CJ56" s="823">
        <f t="shared" si="71"/>
        <v>0</v>
      </c>
      <c r="CK56" s="823">
        <f t="shared" si="71"/>
        <v>0</v>
      </c>
      <c r="CL56" s="823">
        <f t="shared" si="71"/>
        <v>0</v>
      </c>
      <c r="CM56" s="823">
        <f t="shared" si="71"/>
        <v>82875522</v>
      </c>
      <c r="CN56" s="823">
        <f t="shared" si="71"/>
        <v>22403408</v>
      </c>
      <c r="CO56" s="823">
        <f t="shared" si="71"/>
        <v>11490874</v>
      </c>
      <c r="CP56" s="823">
        <f t="shared" si="71"/>
        <v>11490874</v>
      </c>
      <c r="CQ56" s="823">
        <f t="shared" si="71"/>
        <v>17124478</v>
      </c>
      <c r="CR56" s="823">
        <f t="shared" si="71"/>
        <v>0</v>
      </c>
      <c r="CS56" s="823">
        <f t="shared" si="71"/>
        <v>0</v>
      </c>
      <c r="CT56" s="823">
        <f t="shared" si="71"/>
        <v>0</v>
      </c>
      <c r="CU56" s="823">
        <f t="shared" si="71"/>
        <v>0</v>
      </c>
      <c r="CV56" s="823">
        <f t="shared" si="71"/>
        <v>0</v>
      </c>
      <c r="CW56" s="823">
        <f t="shared" si="71"/>
        <v>0</v>
      </c>
      <c r="CX56" s="823">
        <f t="shared" si="71"/>
        <v>0</v>
      </c>
      <c r="CY56" s="823">
        <f t="shared" si="71"/>
        <v>0</v>
      </c>
      <c r="CZ56" s="823">
        <f t="shared" si="71"/>
        <v>0</v>
      </c>
      <c r="DA56" s="823">
        <f t="shared" si="71"/>
        <v>0</v>
      </c>
      <c r="DB56" s="823">
        <f t="shared" si="71"/>
        <v>0</v>
      </c>
      <c r="DC56" s="823">
        <f t="shared" si="71"/>
        <v>0</v>
      </c>
      <c r="DD56" s="823">
        <f t="shared" si="71"/>
        <v>0</v>
      </c>
      <c r="DE56" s="823">
        <f t="shared" si="71"/>
        <v>0</v>
      </c>
      <c r="DF56" s="823">
        <f t="shared" si="71"/>
        <v>0</v>
      </c>
      <c r="DG56" s="823">
        <f t="shared" si="71"/>
        <v>0</v>
      </c>
      <c r="DH56" s="823">
        <f t="shared" si="71"/>
        <v>0</v>
      </c>
      <c r="DI56" s="823">
        <f t="shared" si="71"/>
        <v>0</v>
      </c>
      <c r="DJ56" s="823">
        <f t="shared" si="71"/>
        <v>0</v>
      </c>
      <c r="DK56" s="823">
        <f t="shared" si="71"/>
        <v>0</v>
      </c>
      <c r="DL56" s="823">
        <f t="shared" si="71"/>
        <v>0</v>
      </c>
      <c r="DM56" s="823">
        <f t="shared" si="71"/>
        <v>0</v>
      </c>
      <c r="DN56" s="823">
        <f t="shared" si="71"/>
        <v>0</v>
      </c>
      <c r="DO56" s="823">
        <f t="shared" si="71"/>
        <v>0</v>
      </c>
      <c r="DP56" s="823">
        <f t="shared" si="71"/>
        <v>0</v>
      </c>
      <c r="DQ56" s="823">
        <f t="shared" si="71"/>
        <v>0</v>
      </c>
      <c r="DR56" s="823">
        <f t="shared" si="71"/>
        <v>0</v>
      </c>
      <c r="DS56" s="823">
        <f t="shared" si="71"/>
        <v>0</v>
      </c>
      <c r="DT56" s="823">
        <f t="shared" si="71"/>
        <v>0</v>
      </c>
      <c r="DU56" s="823">
        <f t="shared" si="71"/>
        <v>0</v>
      </c>
      <c r="DV56" s="823">
        <f t="shared" si="71"/>
        <v>0</v>
      </c>
      <c r="DW56" s="823">
        <f t="shared" si="71"/>
        <v>0</v>
      </c>
      <c r="DX56" s="823">
        <f t="shared" si="71"/>
        <v>0</v>
      </c>
      <c r="DY56" s="823">
        <f t="shared" si="71"/>
        <v>0</v>
      </c>
      <c r="DZ56" s="823">
        <f t="shared" si="71"/>
        <v>0</v>
      </c>
      <c r="EA56" s="823">
        <f t="shared" si="71"/>
        <v>0</v>
      </c>
      <c r="EB56" s="823">
        <f t="shared" si="71"/>
        <v>0</v>
      </c>
      <c r="EC56" s="823">
        <f t="shared" si="71"/>
        <v>0</v>
      </c>
      <c r="ED56" s="823">
        <f t="shared" si="71"/>
        <v>0</v>
      </c>
      <c r="EE56" s="810">
        <f t="shared" si="65"/>
        <v>100000000</v>
      </c>
      <c r="EF56" s="810">
        <f t="shared" si="65"/>
        <v>22403408</v>
      </c>
      <c r="EG56" s="810">
        <f t="shared" si="65"/>
        <v>11490874</v>
      </c>
      <c r="EH56" s="810">
        <f t="shared" si="65"/>
        <v>11490874</v>
      </c>
      <c r="EI56" s="824">
        <f t="shared" si="4"/>
        <v>0</v>
      </c>
      <c r="EJ56" s="838"/>
      <c r="EK56" s="813"/>
    </row>
    <row r="57" spans="1:141" ht="21.75" customHeight="1" thickTop="1" thickBot="1" x14ac:dyDescent="0.3">
      <c r="A57" s="825" t="s">
        <v>1577</v>
      </c>
      <c r="B57" s="826">
        <f>+'Anexo 5.2. informe Gastos'!I147</f>
        <v>100000000</v>
      </c>
      <c r="C57" s="827"/>
      <c r="D57" s="827"/>
      <c r="E57" s="827"/>
      <c r="F57" s="827"/>
      <c r="G57" s="827"/>
      <c r="H57" s="827"/>
      <c r="I57" s="827"/>
      <c r="J57" s="827"/>
      <c r="K57" s="827"/>
      <c r="L57" s="827"/>
      <c r="M57" s="827"/>
      <c r="N57" s="827"/>
      <c r="O57" s="828"/>
      <c r="P57" s="828"/>
      <c r="Q57" s="827"/>
      <c r="R57" s="828"/>
      <c r="S57" s="828"/>
      <c r="T57" s="828"/>
      <c r="U57" s="827"/>
      <c r="V57" s="827"/>
      <c r="W57" s="827"/>
      <c r="X57" s="827"/>
      <c r="Y57" s="827"/>
      <c r="Z57" s="827"/>
      <c r="AA57" s="827"/>
      <c r="AB57" s="827"/>
      <c r="AC57" s="827"/>
      <c r="AD57" s="827"/>
      <c r="AE57" s="827"/>
      <c r="AF57" s="827"/>
      <c r="AG57" s="827"/>
      <c r="AH57" s="827"/>
      <c r="AI57" s="827"/>
      <c r="AJ57" s="827"/>
      <c r="AK57" s="827"/>
      <c r="AL57" s="827"/>
      <c r="AM57" s="827"/>
      <c r="AN57" s="827"/>
      <c r="AO57" s="827"/>
      <c r="AP57" s="827"/>
      <c r="AQ57" s="827"/>
      <c r="AR57" s="827"/>
      <c r="AS57" s="827"/>
      <c r="AT57" s="827"/>
      <c r="AU57" s="827"/>
      <c r="AV57" s="827"/>
      <c r="AW57" s="827"/>
      <c r="AX57" s="827"/>
      <c r="AY57" s="827"/>
      <c r="AZ57" s="827"/>
      <c r="BA57" s="827"/>
      <c r="BB57" s="827"/>
      <c r="BC57" s="827"/>
      <c r="BD57" s="827"/>
      <c r="BE57" s="827"/>
      <c r="BF57" s="827"/>
      <c r="BG57" s="827"/>
      <c r="BH57" s="827"/>
      <c r="BI57" s="827"/>
      <c r="BJ57" s="827"/>
      <c r="BK57" s="827"/>
      <c r="BL57" s="827"/>
      <c r="BM57" s="827"/>
      <c r="BN57" s="827"/>
      <c r="BO57" s="827"/>
      <c r="BP57" s="827"/>
      <c r="BQ57" s="827"/>
      <c r="BR57" s="827"/>
      <c r="BS57" s="827"/>
      <c r="BT57" s="827"/>
      <c r="BU57" s="827"/>
      <c r="BV57" s="827"/>
      <c r="BW57" s="827"/>
      <c r="BX57" s="827"/>
      <c r="BY57" s="827"/>
      <c r="BZ57" s="827"/>
      <c r="CA57" s="827"/>
      <c r="CB57" s="827"/>
      <c r="CC57" s="827"/>
      <c r="CD57" s="827"/>
      <c r="CE57" s="827"/>
      <c r="CF57" s="827"/>
      <c r="CG57" s="827"/>
      <c r="CH57" s="827"/>
      <c r="CI57" s="827"/>
      <c r="CJ57" s="827"/>
      <c r="CK57" s="827"/>
      <c r="CL57" s="827"/>
      <c r="CM57" s="834">
        <v>82875522</v>
      </c>
      <c r="CN57" s="836">
        <v>22403408</v>
      </c>
      <c r="CO57" s="836">
        <v>11490874</v>
      </c>
      <c r="CP57" s="836">
        <v>11490874</v>
      </c>
      <c r="CQ57" s="834">
        <v>17124478</v>
      </c>
      <c r="CR57" s="836">
        <v>0</v>
      </c>
      <c r="CS57" s="836">
        <v>0</v>
      </c>
      <c r="CT57" s="836">
        <v>0</v>
      </c>
      <c r="CU57" s="829"/>
      <c r="CV57" s="836"/>
      <c r="CW57" s="836"/>
      <c r="CX57" s="836"/>
      <c r="CY57" s="829"/>
      <c r="CZ57" s="836"/>
      <c r="DA57" s="836"/>
      <c r="DB57" s="836"/>
      <c r="DC57" s="829"/>
      <c r="DD57" s="836"/>
      <c r="DE57" s="836"/>
      <c r="DF57" s="836"/>
      <c r="DG57" s="829"/>
      <c r="DH57" s="836"/>
      <c r="DI57" s="836"/>
      <c r="DJ57" s="836"/>
      <c r="DK57" s="829"/>
      <c r="DL57" s="836"/>
      <c r="DM57" s="836"/>
      <c r="DN57" s="836"/>
      <c r="DO57" s="829"/>
      <c r="DP57" s="836"/>
      <c r="DQ57" s="836"/>
      <c r="DR57" s="836"/>
      <c r="DS57" s="829"/>
      <c r="DT57" s="836"/>
      <c r="DU57" s="836"/>
      <c r="DV57" s="836"/>
      <c r="DW57" s="829"/>
      <c r="DX57" s="836"/>
      <c r="DY57" s="836"/>
      <c r="DZ57" s="836"/>
      <c r="EA57" s="828"/>
      <c r="EB57" s="828"/>
      <c r="EC57" s="827"/>
      <c r="ED57" s="827"/>
      <c r="EE57" s="832">
        <f t="shared" si="65"/>
        <v>100000000</v>
      </c>
      <c r="EF57" s="832">
        <f t="shared" si="65"/>
        <v>22403408</v>
      </c>
      <c r="EG57" s="832">
        <f t="shared" si="65"/>
        <v>11490874</v>
      </c>
      <c r="EH57" s="832">
        <f t="shared" si="65"/>
        <v>11490874</v>
      </c>
      <c r="EI57" s="725">
        <f t="shared" si="4"/>
        <v>0</v>
      </c>
      <c r="EJ57" s="838"/>
      <c r="EK57" s="813"/>
    </row>
    <row r="58" spans="1:141" ht="24" customHeight="1" thickTop="1" thickBot="1" x14ac:dyDescent="0.3">
      <c r="A58" s="818" t="s">
        <v>1581</v>
      </c>
      <c r="B58" s="819">
        <f t="shared" ref="B58:BM58" si="72">+B59+B61+B64+B66</f>
        <v>56658728028</v>
      </c>
      <c r="C58" s="819">
        <f t="shared" si="72"/>
        <v>250056738</v>
      </c>
      <c r="D58" s="819">
        <f t="shared" si="72"/>
        <v>249826593</v>
      </c>
      <c r="E58" s="819">
        <f t="shared" si="72"/>
        <v>0</v>
      </c>
      <c r="F58" s="819">
        <f t="shared" si="72"/>
        <v>0</v>
      </c>
      <c r="G58" s="819">
        <f t="shared" si="72"/>
        <v>0</v>
      </c>
      <c r="H58" s="819">
        <f t="shared" si="72"/>
        <v>0</v>
      </c>
      <c r="I58" s="819">
        <f t="shared" si="72"/>
        <v>0</v>
      </c>
      <c r="J58" s="819">
        <f t="shared" si="72"/>
        <v>0</v>
      </c>
      <c r="K58" s="819">
        <f t="shared" si="72"/>
        <v>0</v>
      </c>
      <c r="L58" s="819">
        <f t="shared" si="72"/>
        <v>0</v>
      </c>
      <c r="M58" s="819">
        <f t="shared" si="72"/>
        <v>0</v>
      </c>
      <c r="N58" s="819">
        <f t="shared" si="72"/>
        <v>0</v>
      </c>
      <c r="O58" s="819">
        <f t="shared" si="72"/>
        <v>0</v>
      </c>
      <c r="P58" s="819">
        <f t="shared" si="72"/>
        <v>0</v>
      </c>
      <c r="Q58" s="819">
        <f t="shared" si="72"/>
        <v>0</v>
      </c>
      <c r="R58" s="819">
        <f t="shared" si="72"/>
        <v>0</v>
      </c>
      <c r="S58" s="819">
        <f t="shared" si="72"/>
        <v>0</v>
      </c>
      <c r="T58" s="819">
        <f t="shared" si="72"/>
        <v>0</v>
      </c>
      <c r="U58" s="819">
        <f t="shared" si="72"/>
        <v>0</v>
      </c>
      <c r="V58" s="819">
        <f t="shared" si="72"/>
        <v>0</v>
      </c>
      <c r="W58" s="819">
        <f t="shared" si="72"/>
        <v>0</v>
      </c>
      <c r="X58" s="819">
        <f t="shared" si="72"/>
        <v>0</v>
      </c>
      <c r="Y58" s="819">
        <f t="shared" si="72"/>
        <v>0</v>
      </c>
      <c r="Z58" s="819">
        <f t="shared" si="72"/>
        <v>0</v>
      </c>
      <c r="AA58" s="819">
        <f t="shared" si="72"/>
        <v>0</v>
      </c>
      <c r="AB58" s="819">
        <f t="shared" si="72"/>
        <v>0</v>
      </c>
      <c r="AC58" s="819">
        <f t="shared" si="72"/>
        <v>0</v>
      </c>
      <c r="AD58" s="819">
        <f t="shared" si="72"/>
        <v>0</v>
      </c>
      <c r="AE58" s="819">
        <f t="shared" si="72"/>
        <v>0</v>
      </c>
      <c r="AF58" s="819">
        <f t="shared" si="72"/>
        <v>0</v>
      </c>
      <c r="AG58" s="819">
        <f t="shared" si="72"/>
        <v>0</v>
      </c>
      <c r="AH58" s="819">
        <f t="shared" si="72"/>
        <v>0</v>
      </c>
      <c r="AI58" s="819">
        <f t="shared" si="72"/>
        <v>0</v>
      </c>
      <c r="AJ58" s="819">
        <f t="shared" si="72"/>
        <v>0</v>
      </c>
      <c r="AK58" s="819">
        <f t="shared" si="72"/>
        <v>0</v>
      </c>
      <c r="AL58" s="819">
        <f t="shared" si="72"/>
        <v>0</v>
      </c>
      <c r="AM58" s="819">
        <f t="shared" si="72"/>
        <v>0</v>
      </c>
      <c r="AN58" s="819">
        <f t="shared" si="72"/>
        <v>0</v>
      </c>
      <c r="AO58" s="819">
        <f t="shared" si="72"/>
        <v>0</v>
      </c>
      <c r="AP58" s="819">
        <f t="shared" si="72"/>
        <v>0</v>
      </c>
      <c r="AQ58" s="819">
        <f t="shared" si="72"/>
        <v>0</v>
      </c>
      <c r="AR58" s="819">
        <f t="shared" si="72"/>
        <v>0</v>
      </c>
      <c r="AS58" s="819">
        <f t="shared" si="72"/>
        <v>0</v>
      </c>
      <c r="AT58" s="819">
        <f t="shared" si="72"/>
        <v>0</v>
      </c>
      <c r="AU58" s="819">
        <f t="shared" si="72"/>
        <v>0</v>
      </c>
      <c r="AV58" s="819">
        <f t="shared" si="72"/>
        <v>0</v>
      </c>
      <c r="AW58" s="819">
        <f t="shared" si="72"/>
        <v>0</v>
      </c>
      <c r="AX58" s="819">
        <f t="shared" si="72"/>
        <v>0</v>
      </c>
      <c r="AY58" s="819">
        <f t="shared" si="72"/>
        <v>0</v>
      </c>
      <c r="AZ58" s="819">
        <f t="shared" si="72"/>
        <v>0</v>
      </c>
      <c r="BA58" s="819">
        <f t="shared" si="72"/>
        <v>0</v>
      </c>
      <c r="BB58" s="819">
        <f t="shared" si="72"/>
        <v>0</v>
      </c>
      <c r="BC58" s="819">
        <f t="shared" si="72"/>
        <v>0</v>
      </c>
      <c r="BD58" s="819">
        <f t="shared" si="72"/>
        <v>0</v>
      </c>
      <c r="BE58" s="819">
        <f t="shared" si="72"/>
        <v>0</v>
      </c>
      <c r="BF58" s="819">
        <f t="shared" si="72"/>
        <v>0</v>
      </c>
      <c r="BG58" s="819">
        <f t="shared" si="72"/>
        <v>0</v>
      </c>
      <c r="BH58" s="819">
        <f t="shared" si="72"/>
        <v>0</v>
      </c>
      <c r="BI58" s="819">
        <f t="shared" si="72"/>
        <v>0</v>
      </c>
      <c r="BJ58" s="819">
        <f t="shared" si="72"/>
        <v>0</v>
      </c>
      <c r="BK58" s="819">
        <f t="shared" si="72"/>
        <v>44606000000</v>
      </c>
      <c r="BL58" s="819">
        <f t="shared" si="72"/>
        <v>42900000000</v>
      </c>
      <c r="BM58" s="819">
        <f t="shared" si="72"/>
        <v>0</v>
      </c>
      <c r="BN58" s="819">
        <f t="shared" ref="BN58:ED58" si="73">+BN59+BN61+BN64+BN66</f>
        <v>0</v>
      </c>
      <c r="BO58" s="819">
        <f t="shared" si="73"/>
        <v>0</v>
      </c>
      <c r="BP58" s="819">
        <f t="shared" si="73"/>
        <v>0</v>
      </c>
      <c r="BQ58" s="819">
        <f t="shared" si="73"/>
        <v>0</v>
      </c>
      <c r="BR58" s="819">
        <f t="shared" si="73"/>
        <v>0</v>
      </c>
      <c r="BS58" s="819">
        <f t="shared" si="73"/>
        <v>0</v>
      </c>
      <c r="BT58" s="819">
        <f t="shared" si="73"/>
        <v>0</v>
      </c>
      <c r="BU58" s="819">
        <f t="shared" si="73"/>
        <v>0</v>
      </c>
      <c r="BV58" s="819">
        <f t="shared" si="73"/>
        <v>0</v>
      </c>
      <c r="BW58" s="819">
        <f t="shared" si="73"/>
        <v>0</v>
      </c>
      <c r="BX58" s="819">
        <f t="shared" si="73"/>
        <v>0</v>
      </c>
      <c r="BY58" s="819">
        <f t="shared" si="73"/>
        <v>0</v>
      </c>
      <c r="BZ58" s="819">
        <f t="shared" si="73"/>
        <v>0</v>
      </c>
      <c r="CA58" s="819">
        <f t="shared" si="73"/>
        <v>0</v>
      </c>
      <c r="CB58" s="819">
        <f t="shared" si="73"/>
        <v>0</v>
      </c>
      <c r="CC58" s="819">
        <f t="shared" si="73"/>
        <v>0</v>
      </c>
      <c r="CD58" s="819">
        <f t="shared" si="73"/>
        <v>0</v>
      </c>
      <c r="CE58" s="819">
        <f t="shared" si="73"/>
        <v>0</v>
      </c>
      <c r="CF58" s="819">
        <f t="shared" si="73"/>
        <v>0</v>
      </c>
      <c r="CG58" s="819">
        <f t="shared" si="73"/>
        <v>0</v>
      </c>
      <c r="CH58" s="819">
        <f t="shared" si="73"/>
        <v>0</v>
      </c>
      <c r="CI58" s="819">
        <f t="shared" si="73"/>
        <v>0</v>
      </c>
      <c r="CJ58" s="819">
        <f t="shared" si="73"/>
        <v>0</v>
      </c>
      <c r="CK58" s="819">
        <f t="shared" si="73"/>
        <v>0</v>
      </c>
      <c r="CL58" s="819">
        <f t="shared" si="73"/>
        <v>0</v>
      </c>
      <c r="CM58" s="819">
        <f t="shared" si="73"/>
        <v>4682336815</v>
      </c>
      <c r="CN58" s="819">
        <f t="shared" si="73"/>
        <v>3274482879</v>
      </c>
      <c r="CO58" s="819">
        <f t="shared" si="73"/>
        <v>1719338442</v>
      </c>
      <c r="CP58" s="819">
        <f t="shared" si="73"/>
        <v>1719338442</v>
      </c>
      <c r="CQ58" s="819">
        <f>+CQ59+CQ61+CQ64+CQ66</f>
        <v>2700867444</v>
      </c>
      <c r="CR58" s="819">
        <f t="shared" si="73"/>
        <v>499987700</v>
      </c>
      <c r="CS58" s="819">
        <f t="shared" si="73"/>
        <v>474987002</v>
      </c>
      <c r="CT58" s="819">
        <f t="shared" si="73"/>
        <v>474987002</v>
      </c>
      <c r="CU58" s="819">
        <f t="shared" si="73"/>
        <v>0</v>
      </c>
      <c r="CV58" s="819">
        <f t="shared" si="73"/>
        <v>0</v>
      </c>
      <c r="CW58" s="819">
        <f t="shared" si="73"/>
        <v>0</v>
      </c>
      <c r="CX58" s="819">
        <f t="shared" si="73"/>
        <v>0</v>
      </c>
      <c r="CY58" s="819">
        <f t="shared" si="73"/>
        <v>321763391</v>
      </c>
      <c r="CZ58" s="819">
        <f t="shared" si="73"/>
        <v>321763391</v>
      </c>
      <c r="DA58" s="819">
        <f t="shared" si="73"/>
        <v>0</v>
      </c>
      <c r="DB58" s="819">
        <f t="shared" si="73"/>
        <v>0</v>
      </c>
      <c r="DC58" s="819">
        <f t="shared" si="73"/>
        <v>0</v>
      </c>
      <c r="DD58" s="819">
        <f t="shared" si="73"/>
        <v>0</v>
      </c>
      <c r="DE58" s="819">
        <f t="shared" si="73"/>
        <v>0</v>
      </c>
      <c r="DF58" s="819">
        <f t="shared" si="73"/>
        <v>0</v>
      </c>
      <c r="DG58" s="819">
        <f t="shared" si="73"/>
        <v>0</v>
      </c>
      <c r="DH58" s="819">
        <f t="shared" si="73"/>
        <v>0</v>
      </c>
      <c r="DI58" s="819">
        <f t="shared" si="73"/>
        <v>0</v>
      </c>
      <c r="DJ58" s="819">
        <f t="shared" si="73"/>
        <v>0</v>
      </c>
      <c r="DK58" s="819">
        <f t="shared" si="73"/>
        <v>0</v>
      </c>
      <c r="DL58" s="819">
        <f t="shared" si="73"/>
        <v>0</v>
      </c>
      <c r="DM58" s="819">
        <f t="shared" si="73"/>
        <v>0</v>
      </c>
      <c r="DN58" s="819">
        <f t="shared" si="73"/>
        <v>0</v>
      </c>
      <c r="DO58" s="819">
        <f t="shared" si="73"/>
        <v>4097703640</v>
      </c>
      <c r="DP58" s="819">
        <f t="shared" si="73"/>
        <v>4019362385</v>
      </c>
      <c r="DQ58" s="819">
        <f t="shared" si="73"/>
        <v>0</v>
      </c>
      <c r="DR58" s="819">
        <f t="shared" si="73"/>
        <v>0</v>
      </c>
      <c r="DS58" s="819">
        <f t="shared" si="73"/>
        <v>0</v>
      </c>
      <c r="DT58" s="819">
        <f t="shared" si="73"/>
        <v>0</v>
      </c>
      <c r="DU58" s="819">
        <f t="shared" si="73"/>
        <v>0</v>
      </c>
      <c r="DV58" s="819">
        <f t="shared" si="73"/>
        <v>0</v>
      </c>
      <c r="DW58" s="819">
        <f t="shared" si="73"/>
        <v>0</v>
      </c>
      <c r="DX58" s="819">
        <f t="shared" si="73"/>
        <v>0</v>
      </c>
      <c r="DY58" s="819">
        <f t="shared" si="73"/>
        <v>0</v>
      </c>
      <c r="DZ58" s="819">
        <f t="shared" si="73"/>
        <v>0</v>
      </c>
      <c r="EA58" s="819">
        <f t="shared" si="73"/>
        <v>0</v>
      </c>
      <c r="EB58" s="819">
        <f t="shared" si="73"/>
        <v>0</v>
      </c>
      <c r="EC58" s="819">
        <f t="shared" si="73"/>
        <v>0</v>
      </c>
      <c r="ED58" s="819">
        <f t="shared" si="73"/>
        <v>0</v>
      </c>
      <c r="EE58" s="820">
        <f t="shared" si="65"/>
        <v>56658728028</v>
      </c>
      <c r="EF58" s="820">
        <f t="shared" si="65"/>
        <v>51265422948</v>
      </c>
      <c r="EG58" s="820">
        <f t="shared" si="65"/>
        <v>2194325444</v>
      </c>
      <c r="EH58" s="820">
        <f t="shared" si="65"/>
        <v>2194325444</v>
      </c>
      <c r="EI58" s="821">
        <f t="shared" si="4"/>
        <v>0</v>
      </c>
      <c r="EK58" s="813"/>
    </row>
    <row r="59" spans="1:141" ht="41.25" customHeight="1" thickTop="1" thickBot="1" x14ac:dyDescent="0.3">
      <c r="A59" s="822" t="s">
        <v>1584</v>
      </c>
      <c r="B59" s="823">
        <f t="shared" ref="B59:BM59" si="74">SUM(B60:B60)</f>
        <v>209665500</v>
      </c>
      <c r="C59" s="823">
        <f t="shared" si="74"/>
        <v>0</v>
      </c>
      <c r="D59" s="823">
        <f t="shared" si="74"/>
        <v>0</v>
      </c>
      <c r="E59" s="823">
        <f t="shared" si="74"/>
        <v>0</v>
      </c>
      <c r="F59" s="823">
        <f t="shared" si="74"/>
        <v>0</v>
      </c>
      <c r="G59" s="823">
        <f t="shared" si="74"/>
        <v>0</v>
      </c>
      <c r="H59" s="823">
        <f t="shared" si="74"/>
        <v>0</v>
      </c>
      <c r="I59" s="823">
        <f t="shared" si="74"/>
        <v>0</v>
      </c>
      <c r="J59" s="823">
        <f t="shared" si="74"/>
        <v>0</v>
      </c>
      <c r="K59" s="823">
        <f t="shared" si="74"/>
        <v>0</v>
      </c>
      <c r="L59" s="823">
        <f t="shared" si="74"/>
        <v>0</v>
      </c>
      <c r="M59" s="823">
        <f t="shared" si="74"/>
        <v>0</v>
      </c>
      <c r="N59" s="823">
        <f t="shared" si="74"/>
        <v>0</v>
      </c>
      <c r="O59" s="823">
        <f t="shared" si="74"/>
        <v>0</v>
      </c>
      <c r="P59" s="823">
        <f t="shared" si="74"/>
        <v>0</v>
      </c>
      <c r="Q59" s="823">
        <f t="shared" si="74"/>
        <v>0</v>
      </c>
      <c r="R59" s="823">
        <f t="shared" si="74"/>
        <v>0</v>
      </c>
      <c r="S59" s="823">
        <f t="shared" si="74"/>
        <v>0</v>
      </c>
      <c r="T59" s="823">
        <f t="shared" si="74"/>
        <v>0</v>
      </c>
      <c r="U59" s="823">
        <f t="shared" si="74"/>
        <v>0</v>
      </c>
      <c r="V59" s="823">
        <f t="shared" si="74"/>
        <v>0</v>
      </c>
      <c r="W59" s="823">
        <f t="shared" si="74"/>
        <v>0</v>
      </c>
      <c r="X59" s="823">
        <f t="shared" si="74"/>
        <v>0</v>
      </c>
      <c r="Y59" s="823">
        <f t="shared" si="74"/>
        <v>0</v>
      </c>
      <c r="Z59" s="823">
        <f t="shared" si="74"/>
        <v>0</v>
      </c>
      <c r="AA59" s="823">
        <f t="shared" si="74"/>
        <v>0</v>
      </c>
      <c r="AB59" s="823">
        <f t="shared" si="74"/>
        <v>0</v>
      </c>
      <c r="AC59" s="823">
        <f t="shared" si="74"/>
        <v>0</v>
      </c>
      <c r="AD59" s="823">
        <f t="shared" si="74"/>
        <v>0</v>
      </c>
      <c r="AE59" s="823">
        <f t="shared" si="74"/>
        <v>0</v>
      </c>
      <c r="AF59" s="823">
        <f t="shared" si="74"/>
        <v>0</v>
      </c>
      <c r="AG59" s="823">
        <f t="shared" si="74"/>
        <v>0</v>
      </c>
      <c r="AH59" s="823">
        <f t="shared" si="74"/>
        <v>0</v>
      </c>
      <c r="AI59" s="823">
        <f t="shared" si="74"/>
        <v>0</v>
      </c>
      <c r="AJ59" s="823">
        <f t="shared" si="74"/>
        <v>0</v>
      </c>
      <c r="AK59" s="823">
        <f t="shared" si="74"/>
        <v>0</v>
      </c>
      <c r="AL59" s="823">
        <f t="shared" si="74"/>
        <v>0</v>
      </c>
      <c r="AM59" s="823">
        <f t="shared" si="74"/>
        <v>0</v>
      </c>
      <c r="AN59" s="823">
        <f t="shared" si="74"/>
        <v>0</v>
      </c>
      <c r="AO59" s="823">
        <f t="shared" si="74"/>
        <v>0</v>
      </c>
      <c r="AP59" s="823">
        <f t="shared" si="74"/>
        <v>0</v>
      </c>
      <c r="AQ59" s="823">
        <f t="shared" si="74"/>
        <v>0</v>
      </c>
      <c r="AR59" s="823">
        <f t="shared" si="74"/>
        <v>0</v>
      </c>
      <c r="AS59" s="823">
        <f t="shared" si="74"/>
        <v>0</v>
      </c>
      <c r="AT59" s="823">
        <f t="shared" si="74"/>
        <v>0</v>
      </c>
      <c r="AU59" s="823">
        <f t="shared" si="74"/>
        <v>0</v>
      </c>
      <c r="AV59" s="823">
        <f t="shared" si="74"/>
        <v>0</v>
      </c>
      <c r="AW59" s="823">
        <f t="shared" si="74"/>
        <v>0</v>
      </c>
      <c r="AX59" s="823">
        <f t="shared" si="74"/>
        <v>0</v>
      </c>
      <c r="AY59" s="823">
        <f t="shared" si="74"/>
        <v>0</v>
      </c>
      <c r="AZ59" s="823">
        <f t="shared" si="74"/>
        <v>0</v>
      </c>
      <c r="BA59" s="823">
        <f t="shared" si="74"/>
        <v>0</v>
      </c>
      <c r="BB59" s="823">
        <f t="shared" si="74"/>
        <v>0</v>
      </c>
      <c r="BC59" s="823">
        <f t="shared" si="74"/>
        <v>0</v>
      </c>
      <c r="BD59" s="823">
        <f t="shared" si="74"/>
        <v>0</v>
      </c>
      <c r="BE59" s="823">
        <f t="shared" si="74"/>
        <v>0</v>
      </c>
      <c r="BF59" s="823">
        <f t="shared" si="74"/>
        <v>0</v>
      </c>
      <c r="BG59" s="823">
        <f t="shared" si="74"/>
        <v>0</v>
      </c>
      <c r="BH59" s="823">
        <f t="shared" si="74"/>
        <v>0</v>
      </c>
      <c r="BI59" s="823">
        <f t="shared" si="74"/>
        <v>0</v>
      </c>
      <c r="BJ59" s="823">
        <f t="shared" si="74"/>
        <v>0</v>
      </c>
      <c r="BK59" s="823">
        <f t="shared" si="74"/>
        <v>0</v>
      </c>
      <c r="BL59" s="823">
        <f t="shared" si="74"/>
        <v>0</v>
      </c>
      <c r="BM59" s="823">
        <f t="shared" si="74"/>
        <v>0</v>
      </c>
      <c r="BN59" s="823">
        <f t="shared" ref="BN59:ED59" si="75">SUM(BN60:BN60)</f>
        <v>0</v>
      </c>
      <c r="BO59" s="823">
        <f t="shared" si="75"/>
        <v>0</v>
      </c>
      <c r="BP59" s="823">
        <f t="shared" si="75"/>
        <v>0</v>
      </c>
      <c r="BQ59" s="823">
        <f t="shared" si="75"/>
        <v>0</v>
      </c>
      <c r="BR59" s="823">
        <f t="shared" si="75"/>
        <v>0</v>
      </c>
      <c r="BS59" s="823">
        <f t="shared" si="75"/>
        <v>0</v>
      </c>
      <c r="BT59" s="823">
        <f t="shared" si="75"/>
        <v>0</v>
      </c>
      <c r="BU59" s="823">
        <f t="shared" si="75"/>
        <v>0</v>
      </c>
      <c r="BV59" s="823">
        <f t="shared" si="75"/>
        <v>0</v>
      </c>
      <c r="BW59" s="823">
        <f t="shared" si="75"/>
        <v>0</v>
      </c>
      <c r="BX59" s="823">
        <f t="shared" si="75"/>
        <v>0</v>
      </c>
      <c r="BY59" s="823">
        <f t="shared" si="75"/>
        <v>0</v>
      </c>
      <c r="BZ59" s="823">
        <f t="shared" si="75"/>
        <v>0</v>
      </c>
      <c r="CA59" s="823">
        <f t="shared" si="75"/>
        <v>0</v>
      </c>
      <c r="CB59" s="823">
        <f t="shared" si="75"/>
        <v>0</v>
      </c>
      <c r="CC59" s="823">
        <f t="shared" si="75"/>
        <v>0</v>
      </c>
      <c r="CD59" s="823">
        <f t="shared" si="75"/>
        <v>0</v>
      </c>
      <c r="CE59" s="823">
        <f t="shared" si="75"/>
        <v>0</v>
      </c>
      <c r="CF59" s="823">
        <f t="shared" si="75"/>
        <v>0</v>
      </c>
      <c r="CG59" s="823">
        <f t="shared" si="75"/>
        <v>0</v>
      </c>
      <c r="CH59" s="823">
        <f t="shared" si="75"/>
        <v>0</v>
      </c>
      <c r="CI59" s="823">
        <f t="shared" si="75"/>
        <v>0</v>
      </c>
      <c r="CJ59" s="823">
        <f t="shared" si="75"/>
        <v>0</v>
      </c>
      <c r="CK59" s="823">
        <f t="shared" si="75"/>
        <v>0</v>
      </c>
      <c r="CL59" s="823">
        <f t="shared" si="75"/>
        <v>0</v>
      </c>
      <c r="CM59" s="823">
        <f t="shared" si="75"/>
        <v>209665500</v>
      </c>
      <c r="CN59" s="823">
        <f t="shared" si="75"/>
        <v>209665500</v>
      </c>
      <c r="CO59" s="823">
        <f t="shared" si="75"/>
        <v>104832750</v>
      </c>
      <c r="CP59" s="823">
        <f t="shared" si="75"/>
        <v>104832750</v>
      </c>
      <c r="CQ59" s="823">
        <f t="shared" si="75"/>
        <v>0</v>
      </c>
      <c r="CR59" s="823">
        <f t="shared" si="75"/>
        <v>0</v>
      </c>
      <c r="CS59" s="823">
        <f t="shared" si="75"/>
        <v>0</v>
      </c>
      <c r="CT59" s="823">
        <f t="shared" si="75"/>
        <v>0</v>
      </c>
      <c r="CU59" s="823">
        <f t="shared" si="75"/>
        <v>0</v>
      </c>
      <c r="CV59" s="823">
        <f t="shared" si="75"/>
        <v>0</v>
      </c>
      <c r="CW59" s="823">
        <f t="shared" si="75"/>
        <v>0</v>
      </c>
      <c r="CX59" s="823">
        <f t="shared" si="75"/>
        <v>0</v>
      </c>
      <c r="CY59" s="823">
        <f t="shared" si="75"/>
        <v>0</v>
      </c>
      <c r="CZ59" s="823">
        <f t="shared" si="75"/>
        <v>0</v>
      </c>
      <c r="DA59" s="823">
        <f t="shared" si="75"/>
        <v>0</v>
      </c>
      <c r="DB59" s="823">
        <f t="shared" si="75"/>
        <v>0</v>
      </c>
      <c r="DC59" s="823">
        <f t="shared" si="75"/>
        <v>0</v>
      </c>
      <c r="DD59" s="823">
        <f t="shared" si="75"/>
        <v>0</v>
      </c>
      <c r="DE59" s="823">
        <f t="shared" si="75"/>
        <v>0</v>
      </c>
      <c r="DF59" s="823">
        <f t="shared" si="75"/>
        <v>0</v>
      </c>
      <c r="DG59" s="823">
        <f t="shared" si="75"/>
        <v>0</v>
      </c>
      <c r="DH59" s="823">
        <f t="shared" si="75"/>
        <v>0</v>
      </c>
      <c r="DI59" s="823">
        <f t="shared" si="75"/>
        <v>0</v>
      </c>
      <c r="DJ59" s="823">
        <f t="shared" si="75"/>
        <v>0</v>
      </c>
      <c r="DK59" s="823">
        <f t="shared" si="75"/>
        <v>0</v>
      </c>
      <c r="DL59" s="823">
        <f t="shared" si="75"/>
        <v>0</v>
      </c>
      <c r="DM59" s="823">
        <f t="shared" si="75"/>
        <v>0</v>
      </c>
      <c r="DN59" s="823">
        <f t="shared" si="75"/>
        <v>0</v>
      </c>
      <c r="DO59" s="823">
        <f t="shared" si="75"/>
        <v>0</v>
      </c>
      <c r="DP59" s="823">
        <f t="shared" si="75"/>
        <v>0</v>
      </c>
      <c r="DQ59" s="823">
        <f t="shared" si="75"/>
        <v>0</v>
      </c>
      <c r="DR59" s="823">
        <f t="shared" si="75"/>
        <v>0</v>
      </c>
      <c r="DS59" s="823">
        <f t="shared" si="75"/>
        <v>0</v>
      </c>
      <c r="DT59" s="823">
        <f t="shared" si="75"/>
        <v>0</v>
      </c>
      <c r="DU59" s="823">
        <f t="shared" si="75"/>
        <v>0</v>
      </c>
      <c r="DV59" s="823">
        <f t="shared" si="75"/>
        <v>0</v>
      </c>
      <c r="DW59" s="823">
        <f t="shared" si="75"/>
        <v>0</v>
      </c>
      <c r="DX59" s="823">
        <f t="shared" si="75"/>
        <v>0</v>
      </c>
      <c r="DY59" s="823">
        <f t="shared" si="75"/>
        <v>0</v>
      </c>
      <c r="DZ59" s="823">
        <f t="shared" si="75"/>
        <v>0</v>
      </c>
      <c r="EA59" s="823">
        <f t="shared" si="75"/>
        <v>0</v>
      </c>
      <c r="EB59" s="823">
        <f t="shared" si="75"/>
        <v>0</v>
      </c>
      <c r="EC59" s="823">
        <f t="shared" si="75"/>
        <v>0</v>
      </c>
      <c r="ED59" s="823">
        <f t="shared" si="75"/>
        <v>0</v>
      </c>
      <c r="EE59" s="810">
        <f t="shared" si="65"/>
        <v>209665500</v>
      </c>
      <c r="EF59" s="810">
        <f t="shared" si="65"/>
        <v>209665500</v>
      </c>
      <c r="EG59" s="810">
        <f t="shared" si="65"/>
        <v>104832750</v>
      </c>
      <c r="EH59" s="810">
        <f t="shared" si="65"/>
        <v>104832750</v>
      </c>
      <c r="EI59" s="824">
        <f t="shared" si="4"/>
        <v>0</v>
      </c>
      <c r="EJ59" s="838"/>
      <c r="EK59" s="813"/>
    </row>
    <row r="60" spans="1:141" ht="27" thickTop="1" thickBot="1" x14ac:dyDescent="0.3">
      <c r="A60" s="825" t="s">
        <v>2035</v>
      </c>
      <c r="B60" s="826">
        <f>+'Anexo 5.2. informe Gastos'!I152</f>
        <v>209665500</v>
      </c>
      <c r="C60" s="827"/>
      <c r="D60" s="827"/>
      <c r="E60" s="827"/>
      <c r="F60" s="827"/>
      <c r="G60" s="827"/>
      <c r="H60" s="827"/>
      <c r="I60" s="827"/>
      <c r="J60" s="827"/>
      <c r="K60" s="827"/>
      <c r="L60" s="827"/>
      <c r="M60" s="827"/>
      <c r="N60" s="827"/>
      <c r="O60" s="828"/>
      <c r="P60" s="828"/>
      <c r="Q60" s="827"/>
      <c r="R60" s="828"/>
      <c r="S60" s="828"/>
      <c r="T60" s="828"/>
      <c r="U60" s="827"/>
      <c r="V60" s="827"/>
      <c r="W60" s="827"/>
      <c r="X60" s="827"/>
      <c r="Y60" s="827"/>
      <c r="Z60" s="827"/>
      <c r="AA60" s="827"/>
      <c r="AB60" s="827"/>
      <c r="AC60" s="827"/>
      <c r="AD60" s="827"/>
      <c r="AE60" s="827"/>
      <c r="AF60" s="827"/>
      <c r="AG60" s="827"/>
      <c r="AH60" s="827"/>
      <c r="AI60" s="827"/>
      <c r="AJ60" s="827"/>
      <c r="AK60" s="827"/>
      <c r="AL60" s="827"/>
      <c r="AM60" s="827"/>
      <c r="AN60" s="827"/>
      <c r="AO60" s="827"/>
      <c r="AP60" s="827"/>
      <c r="AQ60" s="827"/>
      <c r="AR60" s="827"/>
      <c r="AS60" s="827"/>
      <c r="AT60" s="827"/>
      <c r="AU60" s="827"/>
      <c r="AV60" s="827"/>
      <c r="AW60" s="827"/>
      <c r="AX60" s="827"/>
      <c r="AY60" s="827"/>
      <c r="AZ60" s="827"/>
      <c r="BA60" s="827"/>
      <c r="BB60" s="827"/>
      <c r="BC60" s="827"/>
      <c r="BD60" s="827"/>
      <c r="BE60" s="827"/>
      <c r="BF60" s="827"/>
      <c r="BG60" s="827"/>
      <c r="BH60" s="827"/>
      <c r="BI60" s="827"/>
      <c r="BJ60" s="827"/>
      <c r="BK60" s="827"/>
      <c r="BL60" s="827"/>
      <c r="BM60" s="827"/>
      <c r="BN60" s="827"/>
      <c r="BO60" s="827"/>
      <c r="BP60" s="827"/>
      <c r="BQ60" s="827"/>
      <c r="BR60" s="827"/>
      <c r="BS60" s="827"/>
      <c r="BT60" s="827"/>
      <c r="BU60" s="827"/>
      <c r="BV60" s="827"/>
      <c r="BW60" s="827"/>
      <c r="BX60" s="827"/>
      <c r="BY60" s="827"/>
      <c r="BZ60" s="827"/>
      <c r="CA60" s="827"/>
      <c r="CB60" s="827"/>
      <c r="CC60" s="827"/>
      <c r="CD60" s="827"/>
      <c r="CE60" s="827"/>
      <c r="CF60" s="827"/>
      <c r="CG60" s="827"/>
      <c r="CH60" s="827"/>
      <c r="CI60" s="827"/>
      <c r="CJ60" s="827"/>
      <c r="CK60" s="827"/>
      <c r="CL60" s="827"/>
      <c r="CM60" s="834">
        <v>209665500</v>
      </c>
      <c r="CN60" s="836">
        <v>209665500</v>
      </c>
      <c r="CO60" s="836">
        <v>104832750</v>
      </c>
      <c r="CP60" s="836">
        <v>104832750</v>
      </c>
      <c r="CQ60" s="829"/>
      <c r="CR60" s="836"/>
      <c r="CS60" s="836"/>
      <c r="CT60" s="836"/>
      <c r="CU60" s="829"/>
      <c r="CV60" s="836"/>
      <c r="CW60" s="836"/>
      <c r="CX60" s="836"/>
      <c r="CY60" s="829"/>
      <c r="CZ60" s="836"/>
      <c r="DA60" s="836"/>
      <c r="DB60" s="836"/>
      <c r="DC60" s="829"/>
      <c r="DD60" s="836"/>
      <c r="DE60" s="836"/>
      <c r="DF60" s="836"/>
      <c r="DG60" s="829"/>
      <c r="DH60" s="836"/>
      <c r="DI60" s="836"/>
      <c r="DJ60" s="836"/>
      <c r="DK60" s="829"/>
      <c r="DL60" s="836"/>
      <c r="DM60" s="836"/>
      <c r="DN60" s="836"/>
      <c r="DO60" s="829"/>
      <c r="DP60" s="836">
        <v>0</v>
      </c>
      <c r="DQ60" s="836">
        <v>0</v>
      </c>
      <c r="DR60" s="836">
        <v>0</v>
      </c>
      <c r="DS60" s="829"/>
      <c r="DT60" s="836">
        <v>0</v>
      </c>
      <c r="DU60" s="836">
        <v>0</v>
      </c>
      <c r="DV60" s="836">
        <v>0</v>
      </c>
      <c r="DW60" s="829"/>
      <c r="DX60" s="836">
        <v>0</v>
      </c>
      <c r="DY60" s="836">
        <v>0</v>
      </c>
      <c r="DZ60" s="836">
        <v>0</v>
      </c>
      <c r="EA60" s="828"/>
      <c r="EB60" s="828"/>
      <c r="EC60" s="827"/>
      <c r="ED60" s="827"/>
      <c r="EE60" s="832">
        <f t="shared" si="65"/>
        <v>209665500</v>
      </c>
      <c r="EF60" s="832">
        <f t="shared" si="65"/>
        <v>209665500</v>
      </c>
      <c r="EG60" s="832">
        <f t="shared" si="65"/>
        <v>104832750</v>
      </c>
      <c r="EH60" s="832">
        <f t="shared" si="65"/>
        <v>104832750</v>
      </c>
      <c r="EI60" s="725">
        <f t="shared" si="4"/>
        <v>0</v>
      </c>
      <c r="EJ60" s="838"/>
      <c r="EK60" s="813"/>
    </row>
    <row r="61" spans="1:141" ht="27" thickTop="1" thickBot="1" x14ac:dyDescent="0.3">
      <c r="A61" s="822" t="s">
        <v>1583</v>
      </c>
      <c r="B61" s="823">
        <f t="shared" ref="B61:BM61" si="76">SUM(B62:B63)</f>
        <v>1000000000</v>
      </c>
      <c r="C61" s="823">
        <f t="shared" si="76"/>
        <v>0</v>
      </c>
      <c r="D61" s="823">
        <f t="shared" si="76"/>
        <v>0</v>
      </c>
      <c r="E61" s="823">
        <f t="shared" si="76"/>
        <v>0</v>
      </c>
      <c r="F61" s="823">
        <f t="shared" si="76"/>
        <v>0</v>
      </c>
      <c r="G61" s="823">
        <f t="shared" si="76"/>
        <v>0</v>
      </c>
      <c r="H61" s="823">
        <f t="shared" si="76"/>
        <v>0</v>
      </c>
      <c r="I61" s="823">
        <f t="shared" si="76"/>
        <v>0</v>
      </c>
      <c r="J61" s="823">
        <f t="shared" si="76"/>
        <v>0</v>
      </c>
      <c r="K61" s="823">
        <f t="shared" si="76"/>
        <v>0</v>
      </c>
      <c r="L61" s="823">
        <f t="shared" si="76"/>
        <v>0</v>
      </c>
      <c r="M61" s="823">
        <f t="shared" si="76"/>
        <v>0</v>
      </c>
      <c r="N61" s="823">
        <f t="shared" si="76"/>
        <v>0</v>
      </c>
      <c r="O61" s="823">
        <f t="shared" si="76"/>
        <v>0</v>
      </c>
      <c r="P61" s="823">
        <f t="shared" si="76"/>
        <v>0</v>
      </c>
      <c r="Q61" s="823">
        <f t="shared" si="76"/>
        <v>0</v>
      </c>
      <c r="R61" s="823">
        <f t="shared" si="76"/>
        <v>0</v>
      </c>
      <c r="S61" s="823">
        <f t="shared" si="76"/>
        <v>0</v>
      </c>
      <c r="T61" s="823">
        <f t="shared" si="76"/>
        <v>0</v>
      </c>
      <c r="U61" s="823">
        <f t="shared" si="76"/>
        <v>0</v>
      </c>
      <c r="V61" s="823">
        <f t="shared" si="76"/>
        <v>0</v>
      </c>
      <c r="W61" s="823">
        <f t="shared" si="76"/>
        <v>0</v>
      </c>
      <c r="X61" s="823">
        <f t="shared" si="76"/>
        <v>0</v>
      </c>
      <c r="Y61" s="823">
        <f t="shared" si="76"/>
        <v>0</v>
      </c>
      <c r="Z61" s="823">
        <f t="shared" si="76"/>
        <v>0</v>
      </c>
      <c r="AA61" s="823">
        <f t="shared" si="76"/>
        <v>0</v>
      </c>
      <c r="AB61" s="823">
        <f t="shared" si="76"/>
        <v>0</v>
      </c>
      <c r="AC61" s="823">
        <f t="shared" si="76"/>
        <v>0</v>
      </c>
      <c r="AD61" s="823">
        <f t="shared" si="76"/>
        <v>0</v>
      </c>
      <c r="AE61" s="823">
        <f t="shared" si="76"/>
        <v>0</v>
      </c>
      <c r="AF61" s="823">
        <f t="shared" si="76"/>
        <v>0</v>
      </c>
      <c r="AG61" s="823">
        <f t="shared" si="76"/>
        <v>0</v>
      </c>
      <c r="AH61" s="823">
        <f t="shared" si="76"/>
        <v>0</v>
      </c>
      <c r="AI61" s="823">
        <f t="shared" si="76"/>
        <v>0</v>
      </c>
      <c r="AJ61" s="823">
        <f t="shared" si="76"/>
        <v>0</v>
      </c>
      <c r="AK61" s="823">
        <f t="shared" si="76"/>
        <v>0</v>
      </c>
      <c r="AL61" s="823">
        <f t="shared" si="76"/>
        <v>0</v>
      </c>
      <c r="AM61" s="823">
        <f t="shared" si="76"/>
        <v>0</v>
      </c>
      <c r="AN61" s="823">
        <f t="shared" si="76"/>
        <v>0</v>
      </c>
      <c r="AO61" s="823">
        <f t="shared" si="76"/>
        <v>0</v>
      </c>
      <c r="AP61" s="823">
        <f t="shared" si="76"/>
        <v>0</v>
      </c>
      <c r="AQ61" s="823">
        <f t="shared" si="76"/>
        <v>0</v>
      </c>
      <c r="AR61" s="823">
        <f t="shared" si="76"/>
        <v>0</v>
      </c>
      <c r="AS61" s="823">
        <f t="shared" si="76"/>
        <v>0</v>
      </c>
      <c r="AT61" s="823">
        <f t="shared" si="76"/>
        <v>0</v>
      </c>
      <c r="AU61" s="823">
        <f t="shared" si="76"/>
        <v>0</v>
      </c>
      <c r="AV61" s="823">
        <f t="shared" si="76"/>
        <v>0</v>
      </c>
      <c r="AW61" s="823">
        <f t="shared" si="76"/>
        <v>0</v>
      </c>
      <c r="AX61" s="823">
        <f t="shared" si="76"/>
        <v>0</v>
      </c>
      <c r="AY61" s="823">
        <f t="shared" si="76"/>
        <v>0</v>
      </c>
      <c r="AZ61" s="823">
        <f t="shared" si="76"/>
        <v>0</v>
      </c>
      <c r="BA61" s="823">
        <f t="shared" si="76"/>
        <v>0</v>
      </c>
      <c r="BB61" s="823">
        <f t="shared" si="76"/>
        <v>0</v>
      </c>
      <c r="BC61" s="823">
        <f t="shared" si="76"/>
        <v>0</v>
      </c>
      <c r="BD61" s="823">
        <f t="shared" si="76"/>
        <v>0</v>
      </c>
      <c r="BE61" s="823">
        <f t="shared" si="76"/>
        <v>0</v>
      </c>
      <c r="BF61" s="823">
        <f t="shared" si="76"/>
        <v>0</v>
      </c>
      <c r="BG61" s="823">
        <f t="shared" si="76"/>
        <v>0</v>
      </c>
      <c r="BH61" s="823">
        <f t="shared" si="76"/>
        <v>0</v>
      </c>
      <c r="BI61" s="823">
        <f t="shared" si="76"/>
        <v>0</v>
      </c>
      <c r="BJ61" s="823">
        <f t="shared" si="76"/>
        <v>0</v>
      </c>
      <c r="BK61" s="823">
        <f t="shared" si="76"/>
        <v>0</v>
      </c>
      <c r="BL61" s="823">
        <f t="shared" si="76"/>
        <v>0</v>
      </c>
      <c r="BM61" s="823">
        <f t="shared" si="76"/>
        <v>0</v>
      </c>
      <c r="BN61" s="823">
        <f t="shared" ref="BN61:ED61" si="77">SUM(BN62:BN63)</f>
        <v>0</v>
      </c>
      <c r="BO61" s="823">
        <f t="shared" si="77"/>
        <v>0</v>
      </c>
      <c r="BP61" s="823">
        <f t="shared" si="77"/>
        <v>0</v>
      </c>
      <c r="BQ61" s="823">
        <f t="shared" si="77"/>
        <v>0</v>
      </c>
      <c r="BR61" s="823">
        <f t="shared" si="77"/>
        <v>0</v>
      </c>
      <c r="BS61" s="823">
        <f t="shared" si="77"/>
        <v>0</v>
      </c>
      <c r="BT61" s="823">
        <f t="shared" si="77"/>
        <v>0</v>
      </c>
      <c r="BU61" s="823">
        <f t="shared" si="77"/>
        <v>0</v>
      </c>
      <c r="BV61" s="823">
        <f t="shared" si="77"/>
        <v>0</v>
      </c>
      <c r="BW61" s="823">
        <f t="shared" si="77"/>
        <v>0</v>
      </c>
      <c r="BX61" s="823">
        <f t="shared" si="77"/>
        <v>0</v>
      </c>
      <c r="BY61" s="823">
        <f t="shared" si="77"/>
        <v>0</v>
      </c>
      <c r="BZ61" s="823">
        <f t="shared" si="77"/>
        <v>0</v>
      </c>
      <c r="CA61" s="823">
        <f t="shared" si="77"/>
        <v>0</v>
      </c>
      <c r="CB61" s="823">
        <f t="shared" si="77"/>
        <v>0</v>
      </c>
      <c r="CC61" s="823">
        <f t="shared" si="77"/>
        <v>0</v>
      </c>
      <c r="CD61" s="823">
        <f t="shared" si="77"/>
        <v>0</v>
      </c>
      <c r="CE61" s="823">
        <f t="shared" si="77"/>
        <v>0</v>
      </c>
      <c r="CF61" s="823">
        <f t="shared" si="77"/>
        <v>0</v>
      </c>
      <c r="CG61" s="823">
        <f t="shared" si="77"/>
        <v>0</v>
      </c>
      <c r="CH61" s="823">
        <f t="shared" si="77"/>
        <v>0</v>
      </c>
      <c r="CI61" s="823">
        <f t="shared" si="77"/>
        <v>0</v>
      </c>
      <c r="CJ61" s="823">
        <f t="shared" si="77"/>
        <v>0</v>
      </c>
      <c r="CK61" s="823">
        <f t="shared" si="77"/>
        <v>0</v>
      </c>
      <c r="CL61" s="823">
        <f t="shared" si="77"/>
        <v>0</v>
      </c>
      <c r="CM61" s="823">
        <f t="shared" si="77"/>
        <v>178236609</v>
      </c>
      <c r="CN61" s="823">
        <f t="shared" si="77"/>
        <v>178236609</v>
      </c>
      <c r="CO61" s="823">
        <f t="shared" si="77"/>
        <v>0</v>
      </c>
      <c r="CP61" s="823">
        <f t="shared" si="77"/>
        <v>0</v>
      </c>
      <c r="CQ61" s="823">
        <f t="shared" si="77"/>
        <v>500000000</v>
      </c>
      <c r="CR61" s="823">
        <f t="shared" si="77"/>
        <v>499987700</v>
      </c>
      <c r="CS61" s="823">
        <f t="shared" si="77"/>
        <v>474987002</v>
      </c>
      <c r="CT61" s="823">
        <f t="shared" si="77"/>
        <v>474987002</v>
      </c>
      <c r="CU61" s="823">
        <f t="shared" si="77"/>
        <v>0</v>
      </c>
      <c r="CV61" s="823">
        <f t="shared" si="77"/>
        <v>0</v>
      </c>
      <c r="CW61" s="823">
        <f t="shared" si="77"/>
        <v>0</v>
      </c>
      <c r="CX61" s="823">
        <f t="shared" si="77"/>
        <v>0</v>
      </c>
      <c r="CY61" s="823">
        <f t="shared" si="77"/>
        <v>321763391</v>
      </c>
      <c r="CZ61" s="823">
        <f t="shared" si="77"/>
        <v>321763391</v>
      </c>
      <c r="DA61" s="823">
        <f t="shared" si="77"/>
        <v>0</v>
      </c>
      <c r="DB61" s="823">
        <f t="shared" si="77"/>
        <v>0</v>
      </c>
      <c r="DC61" s="823">
        <f t="shared" si="77"/>
        <v>0</v>
      </c>
      <c r="DD61" s="823">
        <f t="shared" si="77"/>
        <v>0</v>
      </c>
      <c r="DE61" s="823">
        <f t="shared" si="77"/>
        <v>0</v>
      </c>
      <c r="DF61" s="823">
        <f t="shared" si="77"/>
        <v>0</v>
      </c>
      <c r="DG61" s="823">
        <f t="shared" si="77"/>
        <v>0</v>
      </c>
      <c r="DH61" s="823">
        <f t="shared" si="77"/>
        <v>0</v>
      </c>
      <c r="DI61" s="823">
        <f t="shared" si="77"/>
        <v>0</v>
      </c>
      <c r="DJ61" s="823">
        <f t="shared" si="77"/>
        <v>0</v>
      </c>
      <c r="DK61" s="823">
        <f t="shared" si="77"/>
        <v>0</v>
      </c>
      <c r="DL61" s="823">
        <f t="shared" si="77"/>
        <v>0</v>
      </c>
      <c r="DM61" s="823">
        <f t="shared" si="77"/>
        <v>0</v>
      </c>
      <c r="DN61" s="823">
        <f t="shared" si="77"/>
        <v>0</v>
      </c>
      <c r="DO61" s="823">
        <f t="shared" si="77"/>
        <v>0</v>
      </c>
      <c r="DP61" s="823">
        <f t="shared" si="77"/>
        <v>0</v>
      </c>
      <c r="DQ61" s="823">
        <f t="shared" si="77"/>
        <v>0</v>
      </c>
      <c r="DR61" s="823">
        <f t="shared" si="77"/>
        <v>0</v>
      </c>
      <c r="DS61" s="823">
        <f t="shared" si="77"/>
        <v>0</v>
      </c>
      <c r="DT61" s="823">
        <f t="shared" si="77"/>
        <v>0</v>
      </c>
      <c r="DU61" s="823">
        <f t="shared" si="77"/>
        <v>0</v>
      </c>
      <c r="DV61" s="823">
        <f t="shared" si="77"/>
        <v>0</v>
      </c>
      <c r="DW61" s="823">
        <f t="shared" si="77"/>
        <v>0</v>
      </c>
      <c r="DX61" s="823">
        <f t="shared" si="77"/>
        <v>0</v>
      </c>
      <c r="DY61" s="823">
        <f t="shared" si="77"/>
        <v>0</v>
      </c>
      <c r="DZ61" s="823">
        <f t="shared" si="77"/>
        <v>0</v>
      </c>
      <c r="EA61" s="823">
        <f t="shared" si="77"/>
        <v>0</v>
      </c>
      <c r="EB61" s="823">
        <f t="shared" si="77"/>
        <v>0</v>
      </c>
      <c r="EC61" s="823">
        <f t="shared" si="77"/>
        <v>0</v>
      </c>
      <c r="ED61" s="823">
        <f t="shared" si="77"/>
        <v>0</v>
      </c>
      <c r="EE61" s="810">
        <f>+C61+G61+K61+O61+S61+W61+AA61+AE61+AI61+AM61+AQ61+AU61+AY61+BC61+BG61+BK61+BO61+BS61+BW61+CA61+CE61+CI61+CM61+CQ61+CU61+CY61+DC61+DG61+DK61+DO61+EA61+DS61+DW61</f>
        <v>1000000000</v>
      </c>
      <c r="EF61" s="810">
        <f>+D61+H61+L61+P61+T61+X61+AB61+AF61+AJ61+AN61+AR61+AV61+AZ61+BD61+BH61+BL61+BP61+BT61+BX61+CB61+CF61+CJ61+CN61+CR61+CV61+CZ61+DD61+DH61+DL61+DP61+EB61+DT61+DX61</f>
        <v>999987700</v>
      </c>
      <c r="EG61" s="810">
        <f>+E61+I61+M61+Q61+U61+Y61+AC61+AG61+AK61+AO61+AS61+AW61+BA61+BE61+BI61+BM61+BQ61+BU61+BY61+CC61+CG61+CK61+CO61+CS61+CW61+DA61+DE61+DI61+DM61+DQ61+EC61+DU61+DY61</f>
        <v>474987002</v>
      </c>
      <c r="EH61" s="810">
        <f>+F61+J61+N61+R61+V61+Z61+AD61+AH61+AL61+AP61+AT61+AX61+BB61+BF61+BJ61+BN61+BR61+BV61+BZ61+CD61+CH61+CL61+CP61+CT61+CX61+DB61+DF61+DJ61+DN61+DR61+ED61+DV61+DZ61</f>
        <v>474987002</v>
      </c>
      <c r="EI61" s="824">
        <f t="shared" si="4"/>
        <v>0</v>
      </c>
      <c r="EK61" s="813"/>
    </row>
    <row r="62" spans="1:141" ht="27" thickTop="1" thickBot="1" x14ac:dyDescent="0.3">
      <c r="A62" s="825" t="s">
        <v>1586</v>
      </c>
      <c r="B62" s="826">
        <f>+'[5]Evidencias ejec SEM I-2022'!AJ80</f>
        <v>500000000</v>
      </c>
      <c r="C62" s="827"/>
      <c r="D62" s="827"/>
      <c r="E62" s="827"/>
      <c r="F62" s="827"/>
      <c r="G62" s="827"/>
      <c r="H62" s="827"/>
      <c r="I62" s="827"/>
      <c r="J62" s="827"/>
      <c r="K62" s="827"/>
      <c r="L62" s="827"/>
      <c r="M62" s="827"/>
      <c r="N62" s="827"/>
      <c r="O62" s="828"/>
      <c r="P62" s="828"/>
      <c r="Q62" s="827"/>
      <c r="R62" s="828"/>
      <c r="S62" s="828"/>
      <c r="T62" s="828"/>
      <c r="U62" s="827"/>
      <c r="V62" s="827"/>
      <c r="W62" s="827"/>
      <c r="X62" s="827"/>
      <c r="Y62" s="827"/>
      <c r="Z62" s="827"/>
      <c r="AA62" s="827"/>
      <c r="AB62" s="827"/>
      <c r="AC62" s="827"/>
      <c r="AD62" s="827"/>
      <c r="AE62" s="827"/>
      <c r="AF62" s="827"/>
      <c r="AG62" s="827"/>
      <c r="AH62" s="827"/>
      <c r="AI62" s="827"/>
      <c r="AJ62" s="827"/>
      <c r="AK62" s="827"/>
      <c r="AL62" s="827"/>
      <c r="AM62" s="827"/>
      <c r="AN62" s="827"/>
      <c r="AO62" s="827"/>
      <c r="AP62" s="827"/>
      <c r="AQ62" s="827"/>
      <c r="AR62" s="827"/>
      <c r="AS62" s="827"/>
      <c r="AT62" s="827"/>
      <c r="AU62" s="827"/>
      <c r="AV62" s="827"/>
      <c r="AW62" s="827"/>
      <c r="AX62" s="827"/>
      <c r="AY62" s="827"/>
      <c r="AZ62" s="827"/>
      <c r="BA62" s="827"/>
      <c r="BB62" s="827"/>
      <c r="BC62" s="827"/>
      <c r="BD62" s="827"/>
      <c r="BE62" s="827"/>
      <c r="BF62" s="827"/>
      <c r="BG62" s="827"/>
      <c r="BH62" s="827"/>
      <c r="BI62" s="827"/>
      <c r="BJ62" s="827"/>
      <c r="BK62" s="827"/>
      <c r="BL62" s="827"/>
      <c r="BM62" s="827"/>
      <c r="BN62" s="827"/>
      <c r="BO62" s="827"/>
      <c r="BP62" s="827"/>
      <c r="BQ62" s="827"/>
      <c r="BR62" s="827"/>
      <c r="BS62" s="827"/>
      <c r="BT62" s="827"/>
      <c r="BU62" s="827"/>
      <c r="BV62" s="827"/>
      <c r="BW62" s="827"/>
      <c r="BX62" s="827"/>
      <c r="BY62" s="827"/>
      <c r="BZ62" s="827"/>
      <c r="CA62" s="827"/>
      <c r="CB62" s="827"/>
      <c r="CC62" s="827"/>
      <c r="CD62" s="827"/>
      <c r="CE62" s="827"/>
      <c r="CF62" s="827"/>
      <c r="CG62" s="827"/>
      <c r="CH62" s="827"/>
      <c r="CI62" s="827"/>
      <c r="CJ62" s="827"/>
      <c r="CK62" s="827"/>
      <c r="CL62" s="827"/>
      <c r="CM62" s="829"/>
      <c r="CN62" s="829"/>
      <c r="CO62" s="831"/>
      <c r="CP62" s="831"/>
      <c r="CQ62" s="834">
        <v>500000000</v>
      </c>
      <c r="CR62" s="829">
        <v>499987700</v>
      </c>
      <c r="CS62" s="831">
        <v>474987002</v>
      </c>
      <c r="CT62" s="831">
        <v>474987002</v>
      </c>
      <c r="CU62" s="829"/>
      <c r="CV62" s="829"/>
      <c r="CW62" s="831"/>
      <c r="CX62" s="831"/>
      <c r="CY62" s="829"/>
      <c r="CZ62" s="829"/>
      <c r="DA62" s="831"/>
      <c r="DB62" s="831"/>
      <c r="DC62" s="829"/>
      <c r="DD62" s="829"/>
      <c r="DE62" s="831"/>
      <c r="DF62" s="831"/>
      <c r="DG62" s="829"/>
      <c r="DH62" s="829"/>
      <c r="DI62" s="831"/>
      <c r="DJ62" s="831"/>
      <c r="DK62" s="829"/>
      <c r="DL62" s="829"/>
      <c r="DM62" s="831"/>
      <c r="DN62" s="831"/>
      <c r="DO62" s="829"/>
      <c r="DP62" s="829"/>
      <c r="DQ62" s="831"/>
      <c r="DR62" s="831"/>
      <c r="DS62" s="829"/>
      <c r="DT62" s="829"/>
      <c r="DU62" s="831"/>
      <c r="DV62" s="831"/>
      <c r="DW62" s="829"/>
      <c r="DX62" s="829"/>
      <c r="DY62" s="831"/>
      <c r="DZ62" s="831"/>
      <c r="EA62" s="828"/>
      <c r="EB62" s="828"/>
      <c r="EC62" s="827"/>
      <c r="ED62" s="827"/>
      <c r="EE62" s="832">
        <f t="shared" ref="EE62:EH63" si="78">+C62+G62+K62+O62+S62+W62+AA62+AE62+AI62+AM62+AQ62+AU62+AY62+BC62+BG62+BK62+BO62+BS62+BW62+CA62+CE62+CI62+CM62+CQ62+CU62+CY62+DC62+DG62+DK62+DO62+EA62+DS62+DW62</f>
        <v>500000000</v>
      </c>
      <c r="EF62" s="832">
        <f t="shared" si="78"/>
        <v>499987700</v>
      </c>
      <c r="EG62" s="832">
        <f t="shared" si="78"/>
        <v>474987002</v>
      </c>
      <c r="EH62" s="832">
        <f t="shared" si="78"/>
        <v>474987002</v>
      </c>
      <c r="EI62" s="725">
        <f t="shared" si="4"/>
        <v>0</v>
      </c>
      <c r="EJ62" s="838"/>
      <c r="EK62" s="813"/>
    </row>
    <row r="63" spans="1:141" ht="27" thickTop="1" thickBot="1" x14ac:dyDescent="0.3">
      <c r="A63" s="825" t="s">
        <v>1589</v>
      </c>
      <c r="B63" s="826">
        <f>+'[5]Evidencias ejec SEM I-2022'!AJ81</f>
        <v>500000000</v>
      </c>
      <c r="C63" s="827"/>
      <c r="D63" s="827"/>
      <c r="E63" s="827"/>
      <c r="F63" s="827"/>
      <c r="G63" s="827"/>
      <c r="H63" s="827"/>
      <c r="I63" s="827"/>
      <c r="J63" s="827"/>
      <c r="K63" s="827"/>
      <c r="L63" s="827"/>
      <c r="M63" s="827"/>
      <c r="N63" s="827"/>
      <c r="O63" s="828"/>
      <c r="P63" s="828"/>
      <c r="Q63" s="827"/>
      <c r="R63" s="828"/>
      <c r="S63" s="828"/>
      <c r="T63" s="828"/>
      <c r="U63" s="827"/>
      <c r="V63" s="827"/>
      <c r="W63" s="827"/>
      <c r="X63" s="827"/>
      <c r="Y63" s="827"/>
      <c r="Z63" s="827"/>
      <c r="AA63" s="827"/>
      <c r="AB63" s="827"/>
      <c r="AC63" s="827"/>
      <c r="AD63" s="827"/>
      <c r="AE63" s="827"/>
      <c r="AF63" s="827"/>
      <c r="AG63" s="827"/>
      <c r="AH63" s="827"/>
      <c r="AI63" s="827"/>
      <c r="AJ63" s="827"/>
      <c r="AK63" s="827"/>
      <c r="AL63" s="827"/>
      <c r="AM63" s="827"/>
      <c r="AN63" s="827"/>
      <c r="AO63" s="827"/>
      <c r="AP63" s="827"/>
      <c r="AQ63" s="827"/>
      <c r="AR63" s="827"/>
      <c r="AS63" s="827"/>
      <c r="AT63" s="827"/>
      <c r="AU63" s="827"/>
      <c r="AV63" s="827"/>
      <c r="AW63" s="827"/>
      <c r="AX63" s="827"/>
      <c r="AY63" s="827"/>
      <c r="AZ63" s="827"/>
      <c r="BA63" s="827"/>
      <c r="BB63" s="827"/>
      <c r="BC63" s="827"/>
      <c r="BD63" s="827"/>
      <c r="BE63" s="827"/>
      <c r="BF63" s="827"/>
      <c r="BG63" s="841"/>
      <c r="BH63" s="827"/>
      <c r="BI63" s="827"/>
      <c r="BJ63" s="827"/>
      <c r="BK63" s="827"/>
      <c r="BL63" s="827"/>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34">
        <v>178236609</v>
      </c>
      <c r="CN63" s="834">
        <v>178236609</v>
      </c>
      <c r="CO63" s="836"/>
      <c r="CP63" s="836"/>
      <c r="CQ63" s="829"/>
      <c r="CR63" s="836"/>
      <c r="CS63" s="836"/>
      <c r="CT63" s="836"/>
      <c r="CU63" s="829"/>
      <c r="CV63" s="836"/>
      <c r="CW63" s="836"/>
      <c r="CX63" s="836"/>
      <c r="CY63" s="834">
        <v>321763391</v>
      </c>
      <c r="CZ63" s="834">
        <v>321763391</v>
      </c>
      <c r="DA63" s="836"/>
      <c r="DB63" s="836"/>
      <c r="DC63" s="829"/>
      <c r="DD63" s="836"/>
      <c r="DE63" s="836"/>
      <c r="DF63" s="836"/>
      <c r="DG63" s="829"/>
      <c r="DH63" s="836"/>
      <c r="DI63" s="836"/>
      <c r="DJ63" s="836"/>
      <c r="DK63" s="829"/>
      <c r="DL63" s="836"/>
      <c r="DM63" s="836"/>
      <c r="DN63" s="836"/>
      <c r="DO63" s="829"/>
      <c r="DP63" s="836">
        <v>0</v>
      </c>
      <c r="DQ63" s="836">
        <v>0</v>
      </c>
      <c r="DR63" s="836">
        <v>0</v>
      </c>
      <c r="DS63" s="829"/>
      <c r="DT63" s="836">
        <v>0</v>
      </c>
      <c r="DU63" s="836">
        <v>0</v>
      </c>
      <c r="DV63" s="836">
        <v>0</v>
      </c>
      <c r="DW63" s="829"/>
      <c r="DX63" s="836">
        <v>0</v>
      </c>
      <c r="DY63" s="836">
        <v>0</v>
      </c>
      <c r="DZ63" s="836">
        <v>0</v>
      </c>
      <c r="EA63" s="828"/>
      <c r="EB63" s="828"/>
      <c r="EC63" s="827"/>
      <c r="ED63" s="827"/>
      <c r="EE63" s="832">
        <f t="shared" si="78"/>
        <v>500000000</v>
      </c>
      <c r="EF63" s="832">
        <f t="shared" si="78"/>
        <v>500000000</v>
      </c>
      <c r="EG63" s="832">
        <f t="shared" si="78"/>
        <v>0</v>
      </c>
      <c r="EH63" s="832">
        <f t="shared" si="78"/>
        <v>0</v>
      </c>
      <c r="EI63" s="725">
        <f t="shared" si="4"/>
        <v>0</v>
      </c>
      <c r="EJ63" s="838"/>
      <c r="EK63" s="813"/>
    </row>
    <row r="64" spans="1:141" ht="24.75" customHeight="1" thickTop="1" thickBot="1" x14ac:dyDescent="0.3">
      <c r="A64" s="822" t="s">
        <v>1590</v>
      </c>
      <c r="B64" s="823">
        <f t="shared" ref="B64:BM64" si="79">SUM(B65:B65)</f>
        <v>473629350</v>
      </c>
      <c r="C64" s="823">
        <f t="shared" si="79"/>
        <v>0</v>
      </c>
      <c r="D64" s="823">
        <f t="shared" si="79"/>
        <v>0</v>
      </c>
      <c r="E64" s="823">
        <f t="shared" si="79"/>
        <v>0</v>
      </c>
      <c r="F64" s="823">
        <f t="shared" si="79"/>
        <v>0</v>
      </c>
      <c r="G64" s="823">
        <f t="shared" si="79"/>
        <v>0</v>
      </c>
      <c r="H64" s="823">
        <f t="shared" si="79"/>
        <v>0</v>
      </c>
      <c r="I64" s="823">
        <f t="shared" si="79"/>
        <v>0</v>
      </c>
      <c r="J64" s="823">
        <f t="shared" si="79"/>
        <v>0</v>
      </c>
      <c r="K64" s="823">
        <f t="shared" si="79"/>
        <v>0</v>
      </c>
      <c r="L64" s="823">
        <f t="shared" si="79"/>
        <v>0</v>
      </c>
      <c r="M64" s="823">
        <f t="shared" si="79"/>
        <v>0</v>
      </c>
      <c r="N64" s="823">
        <f t="shared" si="79"/>
        <v>0</v>
      </c>
      <c r="O64" s="823">
        <f t="shared" si="79"/>
        <v>0</v>
      </c>
      <c r="P64" s="823">
        <f t="shared" si="79"/>
        <v>0</v>
      </c>
      <c r="Q64" s="823">
        <f t="shared" si="79"/>
        <v>0</v>
      </c>
      <c r="R64" s="823">
        <f t="shared" si="79"/>
        <v>0</v>
      </c>
      <c r="S64" s="823">
        <f t="shared" si="79"/>
        <v>0</v>
      </c>
      <c r="T64" s="823">
        <f t="shared" si="79"/>
        <v>0</v>
      </c>
      <c r="U64" s="823">
        <f t="shared" si="79"/>
        <v>0</v>
      </c>
      <c r="V64" s="823">
        <f t="shared" si="79"/>
        <v>0</v>
      </c>
      <c r="W64" s="823">
        <f t="shared" si="79"/>
        <v>0</v>
      </c>
      <c r="X64" s="823">
        <f t="shared" si="79"/>
        <v>0</v>
      </c>
      <c r="Y64" s="823">
        <f t="shared" si="79"/>
        <v>0</v>
      </c>
      <c r="Z64" s="823">
        <f t="shared" si="79"/>
        <v>0</v>
      </c>
      <c r="AA64" s="823">
        <f t="shared" si="79"/>
        <v>0</v>
      </c>
      <c r="AB64" s="823">
        <f t="shared" si="79"/>
        <v>0</v>
      </c>
      <c r="AC64" s="823">
        <f t="shared" si="79"/>
        <v>0</v>
      </c>
      <c r="AD64" s="823">
        <f t="shared" si="79"/>
        <v>0</v>
      </c>
      <c r="AE64" s="823">
        <f t="shared" si="79"/>
        <v>0</v>
      </c>
      <c r="AF64" s="823">
        <f t="shared" si="79"/>
        <v>0</v>
      </c>
      <c r="AG64" s="823">
        <f t="shared" si="79"/>
        <v>0</v>
      </c>
      <c r="AH64" s="823">
        <f t="shared" si="79"/>
        <v>0</v>
      </c>
      <c r="AI64" s="823">
        <f t="shared" si="79"/>
        <v>0</v>
      </c>
      <c r="AJ64" s="823">
        <f t="shared" si="79"/>
        <v>0</v>
      </c>
      <c r="AK64" s="823">
        <f t="shared" si="79"/>
        <v>0</v>
      </c>
      <c r="AL64" s="823">
        <f t="shared" si="79"/>
        <v>0</v>
      </c>
      <c r="AM64" s="823">
        <f t="shared" si="79"/>
        <v>0</v>
      </c>
      <c r="AN64" s="823">
        <f t="shared" si="79"/>
        <v>0</v>
      </c>
      <c r="AO64" s="823">
        <f t="shared" si="79"/>
        <v>0</v>
      </c>
      <c r="AP64" s="823">
        <f t="shared" si="79"/>
        <v>0</v>
      </c>
      <c r="AQ64" s="823">
        <f t="shared" si="79"/>
        <v>0</v>
      </c>
      <c r="AR64" s="823">
        <f t="shared" si="79"/>
        <v>0</v>
      </c>
      <c r="AS64" s="823">
        <f t="shared" si="79"/>
        <v>0</v>
      </c>
      <c r="AT64" s="823">
        <f t="shared" si="79"/>
        <v>0</v>
      </c>
      <c r="AU64" s="823">
        <f t="shared" si="79"/>
        <v>0</v>
      </c>
      <c r="AV64" s="823">
        <f t="shared" si="79"/>
        <v>0</v>
      </c>
      <c r="AW64" s="823">
        <f t="shared" si="79"/>
        <v>0</v>
      </c>
      <c r="AX64" s="823">
        <f t="shared" si="79"/>
        <v>0</v>
      </c>
      <c r="AY64" s="823">
        <f t="shared" si="79"/>
        <v>0</v>
      </c>
      <c r="AZ64" s="823">
        <f t="shared" si="79"/>
        <v>0</v>
      </c>
      <c r="BA64" s="823">
        <f t="shared" si="79"/>
        <v>0</v>
      </c>
      <c r="BB64" s="823">
        <f t="shared" si="79"/>
        <v>0</v>
      </c>
      <c r="BC64" s="823">
        <f t="shared" si="79"/>
        <v>0</v>
      </c>
      <c r="BD64" s="823">
        <f t="shared" si="79"/>
        <v>0</v>
      </c>
      <c r="BE64" s="823">
        <f t="shared" si="79"/>
        <v>0</v>
      </c>
      <c r="BF64" s="823">
        <f t="shared" si="79"/>
        <v>0</v>
      </c>
      <c r="BG64" s="823">
        <f t="shared" si="79"/>
        <v>0</v>
      </c>
      <c r="BH64" s="823">
        <f t="shared" si="79"/>
        <v>0</v>
      </c>
      <c r="BI64" s="823">
        <f t="shared" si="79"/>
        <v>0</v>
      </c>
      <c r="BJ64" s="823">
        <f t="shared" si="79"/>
        <v>0</v>
      </c>
      <c r="BK64" s="823">
        <f t="shared" si="79"/>
        <v>0</v>
      </c>
      <c r="BL64" s="823">
        <f t="shared" si="79"/>
        <v>0</v>
      </c>
      <c r="BM64" s="823">
        <f t="shared" si="79"/>
        <v>0</v>
      </c>
      <c r="BN64" s="823">
        <f t="shared" ref="BN64:ED64" si="80">SUM(BN65:BN65)</f>
        <v>0</v>
      </c>
      <c r="BO64" s="823">
        <f t="shared" si="80"/>
        <v>0</v>
      </c>
      <c r="BP64" s="823">
        <f t="shared" si="80"/>
        <v>0</v>
      </c>
      <c r="BQ64" s="823">
        <f t="shared" si="80"/>
        <v>0</v>
      </c>
      <c r="BR64" s="823">
        <f t="shared" si="80"/>
        <v>0</v>
      </c>
      <c r="BS64" s="823">
        <f t="shared" si="80"/>
        <v>0</v>
      </c>
      <c r="BT64" s="823">
        <f t="shared" si="80"/>
        <v>0</v>
      </c>
      <c r="BU64" s="823">
        <f t="shared" si="80"/>
        <v>0</v>
      </c>
      <c r="BV64" s="823">
        <f t="shared" si="80"/>
        <v>0</v>
      </c>
      <c r="BW64" s="823">
        <f t="shared" si="80"/>
        <v>0</v>
      </c>
      <c r="BX64" s="823">
        <f t="shared" si="80"/>
        <v>0</v>
      </c>
      <c r="BY64" s="823">
        <f t="shared" si="80"/>
        <v>0</v>
      </c>
      <c r="BZ64" s="823">
        <f t="shared" si="80"/>
        <v>0</v>
      </c>
      <c r="CA64" s="823">
        <f t="shared" si="80"/>
        <v>0</v>
      </c>
      <c r="CB64" s="823">
        <f t="shared" si="80"/>
        <v>0</v>
      </c>
      <c r="CC64" s="823">
        <f t="shared" si="80"/>
        <v>0</v>
      </c>
      <c r="CD64" s="823">
        <f t="shared" si="80"/>
        <v>0</v>
      </c>
      <c r="CE64" s="823">
        <f t="shared" si="80"/>
        <v>0</v>
      </c>
      <c r="CF64" s="823">
        <f t="shared" si="80"/>
        <v>0</v>
      </c>
      <c r="CG64" s="823">
        <f t="shared" si="80"/>
        <v>0</v>
      </c>
      <c r="CH64" s="823">
        <f t="shared" si="80"/>
        <v>0</v>
      </c>
      <c r="CI64" s="823">
        <f t="shared" si="80"/>
        <v>0</v>
      </c>
      <c r="CJ64" s="823">
        <f t="shared" si="80"/>
        <v>0</v>
      </c>
      <c r="CK64" s="823">
        <f t="shared" si="80"/>
        <v>0</v>
      </c>
      <c r="CL64" s="823">
        <f t="shared" si="80"/>
        <v>0</v>
      </c>
      <c r="CM64" s="823">
        <f t="shared" si="80"/>
        <v>473629350</v>
      </c>
      <c r="CN64" s="823">
        <f t="shared" si="80"/>
        <v>473629350</v>
      </c>
      <c r="CO64" s="823">
        <f t="shared" si="80"/>
        <v>286814675</v>
      </c>
      <c r="CP64" s="823">
        <f t="shared" si="80"/>
        <v>286814675</v>
      </c>
      <c r="CQ64" s="823">
        <f t="shared" si="80"/>
        <v>0</v>
      </c>
      <c r="CR64" s="823">
        <f t="shared" si="80"/>
        <v>0</v>
      </c>
      <c r="CS64" s="823">
        <f t="shared" si="80"/>
        <v>0</v>
      </c>
      <c r="CT64" s="823">
        <f t="shared" si="80"/>
        <v>0</v>
      </c>
      <c r="CU64" s="823">
        <f t="shared" si="80"/>
        <v>0</v>
      </c>
      <c r="CV64" s="823">
        <f t="shared" si="80"/>
        <v>0</v>
      </c>
      <c r="CW64" s="823">
        <f t="shared" si="80"/>
        <v>0</v>
      </c>
      <c r="CX64" s="823">
        <f t="shared" si="80"/>
        <v>0</v>
      </c>
      <c r="CY64" s="823">
        <f t="shared" si="80"/>
        <v>0</v>
      </c>
      <c r="CZ64" s="823">
        <f t="shared" si="80"/>
        <v>0</v>
      </c>
      <c r="DA64" s="823">
        <f t="shared" si="80"/>
        <v>0</v>
      </c>
      <c r="DB64" s="823">
        <f t="shared" si="80"/>
        <v>0</v>
      </c>
      <c r="DC64" s="823">
        <f t="shared" si="80"/>
        <v>0</v>
      </c>
      <c r="DD64" s="823">
        <f t="shared" si="80"/>
        <v>0</v>
      </c>
      <c r="DE64" s="823">
        <f t="shared" si="80"/>
        <v>0</v>
      </c>
      <c r="DF64" s="823">
        <f t="shared" si="80"/>
        <v>0</v>
      </c>
      <c r="DG64" s="823">
        <f t="shared" si="80"/>
        <v>0</v>
      </c>
      <c r="DH64" s="823">
        <f t="shared" si="80"/>
        <v>0</v>
      </c>
      <c r="DI64" s="823">
        <f t="shared" si="80"/>
        <v>0</v>
      </c>
      <c r="DJ64" s="823">
        <f t="shared" si="80"/>
        <v>0</v>
      </c>
      <c r="DK64" s="823">
        <f t="shared" si="80"/>
        <v>0</v>
      </c>
      <c r="DL64" s="823">
        <f t="shared" si="80"/>
        <v>0</v>
      </c>
      <c r="DM64" s="823">
        <f t="shared" si="80"/>
        <v>0</v>
      </c>
      <c r="DN64" s="823">
        <f t="shared" si="80"/>
        <v>0</v>
      </c>
      <c r="DO64" s="823">
        <f t="shared" si="80"/>
        <v>0</v>
      </c>
      <c r="DP64" s="823">
        <f t="shared" si="80"/>
        <v>0</v>
      </c>
      <c r="DQ64" s="823">
        <f t="shared" si="80"/>
        <v>0</v>
      </c>
      <c r="DR64" s="823">
        <f t="shared" si="80"/>
        <v>0</v>
      </c>
      <c r="DS64" s="823">
        <f t="shared" si="80"/>
        <v>0</v>
      </c>
      <c r="DT64" s="823">
        <f t="shared" si="80"/>
        <v>0</v>
      </c>
      <c r="DU64" s="823">
        <f t="shared" si="80"/>
        <v>0</v>
      </c>
      <c r="DV64" s="823">
        <f t="shared" si="80"/>
        <v>0</v>
      </c>
      <c r="DW64" s="823">
        <f t="shared" si="80"/>
        <v>0</v>
      </c>
      <c r="DX64" s="823">
        <f t="shared" si="80"/>
        <v>0</v>
      </c>
      <c r="DY64" s="823">
        <f t="shared" si="80"/>
        <v>0</v>
      </c>
      <c r="DZ64" s="823">
        <f t="shared" si="80"/>
        <v>0</v>
      </c>
      <c r="EA64" s="823">
        <f t="shared" si="80"/>
        <v>0</v>
      </c>
      <c r="EB64" s="823">
        <f t="shared" si="80"/>
        <v>0</v>
      </c>
      <c r="EC64" s="823">
        <f t="shared" si="80"/>
        <v>0</v>
      </c>
      <c r="ED64" s="823">
        <f t="shared" si="80"/>
        <v>0</v>
      </c>
      <c r="EE64" s="810">
        <f>+C64+G64+K64+O64+S64+W64+AA64+AE64+AI64+AM64+AQ64+AU64+AY64+BC64+BG64+BK64+BO64+BS64+BW64+CA64+CE64+CI64+CM64+CQ64+CU64+CY64+DC64+DG64+DK64+DO64+EA64+DS64+DW64</f>
        <v>473629350</v>
      </c>
      <c r="EF64" s="810">
        <f>+D64+H64+L64+P64+T64+X64+AB64+AF64+AJ64+AN64+AR64+AV64+AZ64+BD64+BH64+BL64+BP64+BT64+BX64+CB64+CF64+CJ64+CN64+CR64+CV64+CZ64+DD64+DH64+DL64+DP64+EB64+DT64+DX64</f>
        <v>473629350</v>
      </c>
      <c r="EG64" s="810">
        <f>+E64+I64+M64+Q64+U64+Y64+AC64+AG64+AK64+AO64+AS64+AW64+BA64+BE64+BI64+BM64+BQ64+BU64+BY64+CC64+CG64+CK64+CO64+CS64+CW64+DA64+DE64+DI64+DM64+DQ64+EC64+DU64+DY64</f>
        <v>286814675</v>
      </c>
      <c r="EH64" s="810">
        <f>+F64+J64+N64+R64+V64+Z64+AD64+AH64+AL64+AP64+AT64+AX64+BB64+BF64+BJ64+BN64+BR64+BV64+BZ64+CD64+CH64+CL64+CP64+CT64+CX64+DB64+DF64+DJ64+DN64+DR64+ED64+DV64+DZ64</f>
        <v>286814675</v>
      </c>
      <c r="EI64" s="824">
        <f t="shared" si="4"/>
        <v>0</v>
      </c>
      <c r="EJ64" s="838"/>
      <c r="EK64" s="813"/>
    </row>
    <row r="65" spans="1:141" ht="27" thickTop="1" thickBot="1" x14ac:dyDescent="0.3">
      <c r="A65" s="825" t="s">
        <v>1592</v>
      </c>
      <c r="B65" s="826">
        <f>+'Anexo 5.2. informe Gastos'!I161</f>
        <v>473629350</v>
      </c>
      <c r="C65" s="827"/>
      <c r="D65" s="827"/>
      <c r="E65" s="827"/>
      <c r="F65" s="827"/>
      <c r="G65" s="827"/>
      <c r="H65" s="827"/>
      <c r="I65" s="827"/>
      <c r="J65" s="827"/>
      <c r="K65" s="827"/>
      <c r="L65" s="827"/>
      <c r="M65" s="827"/>
      <c r="N65" s="827"/>
      <c r="O65" s="828"/>
      <c r="P65" s="828"/>
      <c r="Q65" s="827"/>
      <c r="R65" s="828"/>
      <c r="S65" s="828"/>
      <c r="T65" s="828"/>
      <c r="U65" s="827"/>
      <c r="V65" s="827"/>
      <c r="W65" s="827"/>
      <c r="X65" s="827"/>
      <c r="Y65" s="827"/>
      <c r="Z65" s="827"/>
      <c r="AA65" s="827"/>
      <c r="AB65" s="827"/>
      <c r="AC65" s="827"/>
      <c r="AD65" s="827"/>
      <c r="AE65" s="827"/>
      <c r="AF65" s="827"/>
      <c r="AG65" s="827"/>
      <c r="AH65" s="827"/>
      <c r="AI65" s="827"/>
      <c r="AJ65" s="827"/>
      <c r="AK65" s="827"/>
      <c r="AL65" s="827"/>
      <c r="AM65" s="827"/>
      <c r="AN65" s="827"/>
      <c r="AO65" s="827"/>
      <c r="AP65" s="827"/>
      <c r="AQ65" s="827"/>
      <c r="AR65" s="827"/>
      <c r="AS65" s="827"/>
      <c r="AT65" s="827"/>
      <c r="AU65" s="827"/>
      <c r="AV65" s="827"/>
      <c r="AW65" s="827"/>
      <c r="AX65" s="827"/>
      <c r="AY65" s="827"/>
      <c r="AZ65" s="827"/>
      <c r="BA65" s="827"/>
      <c r="BB65" s="827"/>
      <c r="BC65" s="827"/>
      <c r="BD65" s="827"/>
      <c r="BE65" s="827"/>
      <c r="BF65" s="827"/>
      <c r="BG65" s="827"/>
      <c r="BH65" s="827"/>
      <c r="BI65" s="827"/>
      <c r="BJ65" s="827"/>
      <c r="BK65" s="827"/>
      <c r="BL65" s="827"/>
      <c r="BM65" s="827"/>
      <c r="BN65" s="827"/>
      <c r="BO65" s="827"/>
      <c r="BP65" s="827"/>
      <c r="BQ65" s="827"/>
      <c r="BR65" s="827"/>
      <c r="BS65" s="827"/>
      <c r="BT65" s="827"/>
      <c r="BU65" s="827"/>
      <c r="BV65" s="827"/>
      <c r="BW65" s="827"/>
      <c r="BX65" s="827"/>
      <c r="BY65" s="827"/>
      <c r="BZ65" s="827"/>
      <c r="CA65" s="827"/>
      <c r="CB65" s="827"/>
      <c r="CC65" s="827"/>
      <c r="CD65" s="827"/>
      <c r="CE65" s="827"/>
      <c r="CF65" s="827"/>
      <c r="CG65" s="827"/>
      <c r="CH65" s="827"/>
      <c r="CI65" s="827"/>
      <c r="CJ65" s="827"/>
      <c r="CK65" s="827"/>
      <c r="CL65" s="827"/>
      <c r="CM65" s="834">
        <v>473629350</v>
      </c>
      <c r="CN65" s="836">
        <v>473629350</v>
      </c>
      <c r="CO65" s="836">
        <v>286814675</v>
      </c>
      <c r="CP65" s="836">
        <v>286814675</v>
      </c>
      <c r="CQ65" s="829"/>
      <c r="CR65" s="836"/>
      <c r="CS65" s="836"/>
      <c r="CT65" s="836"/>
      <c r="CU65" s="829"/>
      <c r="CV65" s="836"/>
      <c r="CW65" s="836"/>
      <c r="CX65" s="836"/>
      <c r="CY65" s="829"/>
      <c r="CZ65" s="836"/>
      <c r="DA65" s="836"/>
      <c r="DB65" s="836"/>
      <c r="DC65" s="829"/>
      <c r="DD65" s="836"/>
      <c r="DE65" s="836"/>
      <c r="DF65" s="836"/>
      <c r="DG65" s="829"/>
      <c r="DH65" s="836"/>
      <c r="DI65" s="836"/>
      <c r="DJ65" s="836"/>
      <c r="DK65" s="829"/>
      <c r="DL65" s="836"/>
      <c r="DM65" s="836"/>
      <c r="DN65" s="836"/>
      <c r="DO65" s="829"/>
      <c r="DP65" s="836">
        <v>0</v>
      </c>
      <c r="DQ65" s="836">
        <v>0</v>
      </c>
      <c r="DR65" s="836">
        <v>0</v>
      </c>
      <c r="DS65" s="829"/>
      <c r="DT65" s="836">
        <v>0</v>
      </c>
      <c r="DU65" s="836">
        <v>0</v>
      </c>
      <c r="DV65" s="836">
        <v>0</v>
      </c>
      <c r="DW65" s="829"/>
      <c r="DX65" s="836">
        <v>0</v>
      </c>
      <c r="DY65" s="836">
        <v>0</v>
      </c>
      <c r="DZ65" s="836">
        <v>0</v>
      </c>
      <c r="EA65" s="828"/>
      <c r="EB65" s="828"/>
      <c r="EC65" s="827"/>
      <c r="ED65" s="827"/>
      <c r="EE65" s="832">
        <f t="shared" ref="EE65:EH65" si="81">+C65+G65+K65+O65+S65+W65+AA65+AE65+AI65+AM65+AQ65+AU65+AY65+BC65+BG65+BK65+BO65+BS65+BW65+CA65+CE65+CI65+CM65+CQ65+CU65+CY65+DC65+DG65+DK65+DO65+EA65+DS65+DW65</f>
        <v>473629350</v>
      </c>
      <c r="EF65" s="832">
        <f t="shared" si="81"/>
        <v>473629350</v>
      </c>
      <c r="EG65" s="832">
        <f t="shared" si="81"/>
        <v>286814675</v>
      </c>
      <c r="EH65" s="832">
        <f t="shared" si="81"/>
        <v>286814675</v>
      </c>
      <c r="EI65" s="725">
        <f t="shared" si="4"/>
        <v>0</v>
      </c>
      <c r="EJ65" s="838"/>
      <c r="EK65" s="813"/>
    </row>
    <row r="66" spans="1:141" ht="25.5" customHeight="1" thickTop="1" thickBot="1" x14ac:dyDescent="0.3">
      <c r="A66" s="822" t="s">
        <v>1594</v>
      </c>
      <c r="B66" s="823">
        <f>SUM(B67:B68)</f>
        <v>54975433178</v>
      </c>
      <c r="C66" s="823">
        <f t="shared" ref="C66:CE66" si="82">SUM(C67:C68)</f>
        <v>250056738</v>
      </c>
      <c r="D66" s="823">
        <f t="shared" si="82"/>
        <v>249826593</v>
      </c>
      <c r="E66" s="823">
        <f t="shared" si="82"/>
        <v>0</v>
      </c>
      <c r="F66" s="823">
        <f t="shared" si="82"/>
        <v>0</v>
      </c>
      <c r="G66" s="823">
        <f t="shared" si="82"/>
        <v>0</v>
      </c>
      <c r="H66" s="823">
        <f t="shared" si="82"/>
        <v>0</v>
      </c>
      <c r="I66" s="823">
        <f t="shared" si="82"/>
        <v>0</v>
      </c>
      <c r="J66" s="823">
        <f t="shared" si="82"/>
        <v>0</v>
      </c>
      <c r="K66" s="823">
        <f>SUM(K67:K68)</f>
        <v>0</v>
      </c>
      <c r="L66" s="823">
        <f>SUM(L67:L68)</f>
        <v>0</v>
      </c>
      <c r="M66" s="823">
        <f>SUM(M67:M68)</f>
        <v>0</v>
      </c>
      <c r="N66" s="823">
        <f>SUM(N67:N68)</f>
        <v>0</v>
      </c>
      <c r="O66" s="823">
        <f t="shared" si="82"/>
        <v>0</v>
      </c>
      <c r="P66" s="823">
        <f t="shared" si="82"/>
        <v>0</v>
      </c>
      <c r="Q66" s="823">
        <f t="shared" si="82"/>
        <v>0</v>
      </c>
      <c r="R66" s="823">
        <f t="shared" si="82"/>
        <v>0</v>
      </c>
      <c r="S66" s="823">
        <f t="shared" si="82"/>
        <v>0</v>
      </c>
      <c r="T66" s="823">
        <f t="shared" si="82"/>
        <v>0</v>
      </c>
      <c r="U66" s="823">
        <f t="shared" si="82"/>
        <v>0</v>
      </c>
      <c r="V66" s="823">
        <f t="shared" si="82"/>
        <v>0</v>
      </c>
      <c r="W66" s="823">
        <f t="shared" si="82"/>
        <v>0</v>
      </c>
      <c r="X66" s="823">
        <f t="shared" si="82"/>
        <v>0</v>
      </c>
      <c r="Y66" s="823">
        <f t="shared" si="82"/>
        <v>0</v>
      </c>
      <c r="Z66" s="823">
        <f t="shared" si="82"/>
        <v>0</v>
      </c>
      <c r="AA66" s="823">
        <f t="shared" si="82"/>
        <v>0</v>
      </c>
      <c r="AB66" s="823">
        <f t="shared" si="82"/>
        <v>0</v>
      </c>
      <c r="AC66" s="823">
        <f t="shared" si="82"/>
        <v>0</v>
      </c>
      <c r="AD66" s="823">
        <f t="shared" si="82"/>
        <v>0</v>
      </c>
      <c r="AE66" s="823">
        <f>SUM(AE67:AE68)</f>
        <v>0</v>
      </c>
      <c r="AF66" s="823">
        <f>SUM(AF67:AF68)</f>
        <v>0</v>
      </c>
      <c r="AG66" s="823">
        <f>SUM(AG67:AG68)</f>
        <v>0</v>
      </c>
      <c r="AH66" s="823">
        <f>SUM(AH67:AH68)</f>
        <v>0</v>
      </c>
      <c r="AI66" s="823">
        <f t="shared" si="82"/>
        <v>0</v>
      </c>
      <c r="AJ66" s="823">
        <f t="shared" si="82"/>
        <v>0</v>
      </c>
      <c r="AK66" s="823">
        <f t="shared" si="82"/>
        <v>0</v>
      </c>
      <c r="AL66" s="823">
        <f t="shared" si="82"/>
        <v>0</v>
      </c>
      <c r="AM66" s="823">
        <f t="shared" si="82"/>
        <v>0</v>
      </c>
      <c r="AN66" s="823">
        <f t="shared" si="82"/>
        <v>0</v>
      </c>
      <c r="AO66" s="823">
        <f t="shared" si="82"/>
        <v>0</v>
      </c>
      <c r="AP66" s="823">
        <f t="shared" si="82"/>
        <v>0</v>
      </c>
      <c r="AQ66" s="823">
        <f t="shared" si="82"/>
        <v>0</v>
      </c>
      <c r="AR66" s="823">
        <f t="shared" si="82"/>
        <v>0</v>
      </c>
      <c r="AS66" s="823">
        <f t="shared" si="82"/>
        <v>0</v>
      </c>
      <c r="AT66" s="823">
        <f t="shared" si="82"/>
        <v>0</v>
      </c>
      <c r="AU66" s="823">
        <f t="shared" si="82"/>
        <v>0</v>
      </c>
      <c r="AV66" s="823">
        <f t="shared" si="82"/>
        <v>0</v>
      </c>
      <c r="AW66" s="823">
        <f t="shared" si="82"/>
        <v>0</v>
      </c>
      <c r="AX66" s="823">
        <f t="shared" si="82"/>
        <v>0</v>
      </c>
      <c r="AY66" s="823">
        <f t="shared" si="82"/>
        <v>0</v>
      </c>
      <c r="AZ66" s="823">
        <f t="shared" si="82"/>
        <v>0</v>
      </c>
      <c r="BA66" s="823">
        <f t="shared" si="82"/>
        <v>0</v>
      </c>
      <c r="BB66" s="823">
        <f t="shared" si="82"/>
        <v>0</v>
      </c>
      <c r="BC66" s="823">
        <f t="shared" si="82"/>
        <v>0</v>
      </c>
      <c r="BD66" s="823">
        <f t="shared" si="82"/>
        <v>0</v>
      </c>
      <c r="BE66" s="823">
        <f t="shared" si="82"/>
        <v>0</v>
      </c>
      <c r="BF66" s="823">
        <f t="shared" si="82"/>
        <v>0</v>
      </c>
      <c r="BG66" s="823">
        <f t="shared" si="82"/>
        <v>0</v>
      </c>
      <c r="BH66" s="823">
        <f t="shared" si="82"/>
        <v>0</v>
      </c>
      <c r="BI66" s="823">
        <f t="shared" si="82"/>
        <v>0</v>
      </c>
      <c r="BJ66" s="823">
        <f t="shared" si="82"/>
        <v>0</v>
      </c>
      <c r="BK66" s="823">
        <f t="shared" si="82"/>
        <v>44606000000</v>
      </c>
      <c r="BL66" s="823">
        <f t="shared" si="82"/>
        <v>42900000000</v>
      </c>
      <c r="BM66" s="823">
        <f t="shared" si="82"/>
        <v>0</v>
      </c>
      <c r="BN66" s="823">
        <f t="shared" si="82"/>
        <v>0</v>
      </c>
      <c r="BO66" s="823">
        <f>SUM(BO67:BO68)</f>
        <v>0</v>
      </c>
      <c r="BP66" s="823">
        <f>SUM(BP67:BP68)</f>
        <v>0</v>
      </c>
      <c r="BQ66" s="823">
        <f>SUM(BQ67:BQ68)</f>
        <v>0</v>
      </c>
      <c r="BR66" s="823">
        <f>SUM(BR67:BR68)</f>
        <v>0</v>
      </c>
      <c r="BS66" s="823">
        <f t="shared" si="82"/>
        <v>0</v>
      </c>
      <c r="BT66" s="823">
        <f t="shared" si="82"/>
        <v>0</v>
      </c>
      <c r="BU66" s="823">
        <f t="shared" si="82"/>
        <v>0</v>
      </c>
      <c r="BV66" s="823">
        <f t="shared" si="82"/>
        <v>0</v>
      </c>
      <c r="BW66" s="823">
        <f t="shared" si="82"/>
        <v>0</v>
      </c>
      <c r="BX66" s="823">
        <f t="shared" si="82"/>
        <v>0</v>
      </c>
      <c r="BY66" s="823">
        <f t="shared" si="82"/>
        <v>0</v>
      </c>
      <c r="BZ66" s="823">
        <f t="shared" si="82"/>
        <v>0</v>
      </c>
      <c r="CA66" s="823">
        <f>SUM(CA67:CA68)</f>
        <v>0</v>
      </c>
      <c r="CB66" s="823">
        <f>SUM(CB67:CB68)</f>
        <v>0</v>
      </c>
      <c r="CC66" s="823">
        <f>SUM(CC67:CC68)</f>
        <v>0</v>
      </c>
      <c r="CD66" s="823">
        <f>SUM(CD67:CD68)</f>
        <v>0</v>
      </c>
      <c r="CE66" s="823">
        <f t="shared" si="82"/>
        <v>0</v>
      </c>
      <c r="CF66" s="823">
        <f t="shared" ref="CF66:ED66" si="83">SUM(CF67:CF68)</f>
        <v>0</v>
      </c>
      <c r="CG66" s="823">
        <f t="shared" si="83"/>
        <v>0</v>
      </c>
      <c r="CH66" s="823">
        <f t="shared" si="83"/>
        <v>0</v>
      </c>
      <c r="CI66" s="823">
        <f t="shared" si="83"/>
        <v>0</v>
      </c>
      <c r="CJ66" s="823">
        <f t="shared" si="83"/>
        <v>0</v>
      </c>
      <c r="CK66" s="823">
        <f t="shared" si="83"/>
        <v>0</v>
      </c>
      <c r="CL66" s="823">
        <f t="shared" si="83"/>
        <v>0</v>
      </c>
      <c r="CM66" s="823">
        <f t="shared" si="83"/>
        <v>3820805356</v>
      </c>
      <c r="CN66" s="823">
        <f t="shared" si="83"/>
        <v>2412951420</v>
      </c>
      <c r="CO66" s="823">
        <f t="shared" si="83"/>
        <v>1327691017</v>
      </c>
      <c r="CP66" s="823">
        <f t="shared" si="83"/>
        <v>1327691017</v>
      </c>
      <c r="CQ66" s="823">
        <f t="shared" si="83"/>
        <v>2200867444</v>
      </c>
      <c r="CR66" s="823">
        <f t="shared" si="83"/>
        <v>0</v>
      </c>
      <c r="CS66" s="823">
        <f t="shared" si="83"/>
        <v>0</v>
      </c>
      <c r="CT66" s="823">
        <f t="shared" si="83"/>
        <v>0</v>
      </c>
      <c r="CU66" s="823">
        <f t="shared" si="83"/>
        <v>0</v>
      </c>
      <c r="CV66" s="823">
        <f t="shared" si="83"/>
        <v>0</v>
      </c>
      <c r="CW66" s="823">
        <f t="shared" si="83"/>
        <v>0</v>
      </c>
      <c r="CX66" s="823">
        <f t="shared" si="83"/>
        <v>0</v>
      </c>
      <c r="CY66" s="823">
        <f t="shared" si="83"/>
        <v>0</v>
      </c>
      <c r="CZ66" s="823">
        <f t="shared" si="83"/>
        <v>0</v>
      </c>
      <c r="DA66" s="823">
        <f t="shared" si="83"/>
        <v>0</v>
      </c>
      <c r="DB66" s="823">
        <f t="shared" si="83"/>
        <v>0</v>
      </c>
      <c r="DC66" s="823">
        <f t="shared" si="83"/>
        <v>0</v>
      </c>
      <c r="DD66" s="823">
        <f t="shared" si="83"/>
        <v>0</v>
      </c>
      <c r="DE66" s="823">
        <f t="shared" si="83"/>
        <v>0</v>
      </c>
      <c r="DF66" s="823">
        <f t="shared" si="83"/>
        <v>0</v>
      </c>
      <c r="DG66" s="823">
        <f t="shared" si="83"/>
        <v>0</v>
      </c>
      <c r="DH66" s="823">
        <f t="shared" si="83"/>
        <v>0</v>
      </c>
      <c r="DI66" s="823">
        <f t="shared" si="83"/>
        <v>0</v>
      </c>
      <c r="DJ66" s="823">
        <f t="shared" si="83"/>
        <v>0</v>
      </c>
      <c r="DK66" s="823">
        <f t="shared" si="83"/>
        <v>0</v>
      </c>
      <c r="DL66" s="823">
        <f t="shared" si="83"/>
        <v>0</v>
      </c>
      <c r="DM66" s="823">
        <f t="shared" si="83"/>
        <v>0</v>
      </c>
      <c r="DN66" s="823">
        <f t="shared" si="83"/>
        <v>0</v>
      </c>
      <c r="DO66" s="823">
        <f t="shared" si="83"/>
        <v>4097703640</v>
      </c>
      <c r="DP66" s="823">
        <f t="shared" si="83"/>
        <v>4019362385</v>
      </c>
      <c r="DQ66" s="823">
        <f t="shared" si="83"/>
        <v>0</v>
      </c>
      <c r="DR66" s="823">
        <f t="shared" si="83"/>
        <v>0</v>
      </c>
      <c r="DS66" s="823">
        <f t="shared" si="83"/>
        <v>0</v>
      </c>
      <c r="DT66" s="823">
        <f t="shared" si="83"/>
        <v>0</v>
      </c>
      <c r="DU66" s="823">
        <f t="shared" si="83"/>
        <v>0</v>
      </c>
      <c r="DV66" s="823">
        <f t="shared" si="83"/>
        <v>0</v>
      </c>
      <c r="DW66" s="823">
        <f t="shared" si="83"/>
        <v>0</v>
      </c>
      <c r="DX66" s="823">
        <f t="shared" si="83"/>
        <v>0</v>
      </c>
      <c r="DY66" s="823">
        <f t="shared" si="83"/>
        <v>0</v>
      </c>
      <c r="DZ66" s="823">
        <f t="shared" si="83"/>
        <v>0</v>
      </c>
      <c r="EA66" s="823">
        <f t="shared" si="83"/>
        <v>0</v>
      </c>
      <c r="EB66" s="823">
        <f t="shared" si="83"/>
        <v>0</v>
      </c>
      <c r="EC66" s="823">
        <f t="shared" si="83"/>
        <v>0</v>
      </c>
      <c r="ED66" s="823">
        <f t="shared" si="83"/>
        <v>0</v>
      </c>
      <c r="EE66" s="810">
        <f>+C66+G66+K66+O66+S66+W66+AA66+AE66+AI66+AM66+AQ66+AU66+AY66+BC66+BG66+BK66+BO66+BS66+BW66+CA66+CE66+CI66+CM66+CQ66+CU66+CY66+DC66+DG66+DK66+DO66+EA66+DS66+DW66</f>
        <v>54975433178</v>
      </c>
      <c r="EF66" s="810">
        <f>+D66+H66+L66+P66+T66+X66+AB66+AF66+AJ66+AN66+AR66+AV66+AZ66+BD66+BH66+BL66+BP66+BT66+BX66+CB66+CF66+CJ66+CN66+CR66+CV66+CZ66+DD66+DH66+DL66+DP66+EB66+DT66+DX66</f>
        <v>49582140398</v>
      </c>
      <c r="EG66" s="810">
        <f>+E66+I66+M66+Q66+U66+Y66+AC66+AG66+AK66+AO66+AS66+AW66+BA66+BE66+BI66+BM66+BQ66+BU66+BY66+CC66+CG66+CK66+CO66+CS66+CW66+DA66+DE66+DI66+DM66+DQ66+EC66+DU66+DY66</f>
        <v>1327691017</v>
      </c>
      <c r="EH66" s="810">
        <f>+F66+J66+N66+R66+V66+Z66+AD66+AH66+AL66+AP66+AT66+AX66+BB66+BF66+BJ66+BN66+BR66+BV66+BZ66+CD66+CH66+CL66+CP66+CT66+CX66+DB66+DF66+DJ66+DN66+DR66+ED66+DV66+DZ66</f>
        <v>1327691017</v>
      </c>
      <c r="EI66" s="824">
        <f t="shared" si="4"/>
        <v>0</v>
      </c>
      <c r="EK66" s="813"/>
    </row>
    <row r="67" spans="1:141" ht="27" thickTop="1" thickBot="1" x14ac:dyDescent="0.3">
      <c r="A67" s="825" t="s">
        <v>1595</v>
      </c>
      <c r="B67" s="829">
        <f>+'Anexo 5.2. informe Gastos'!I165</f>
        <v>48703703640</v>
      </c>
      <c r="C67" s="831"/>
      <c r="D67" s="837"/>
      <c r="E67" s="837"/>
      <c r="F67" s="837"/>
      <c r="G67" s="837"/>
      <c r="H67" s="837"/>
      <c r="I67" s="837"/>
      <c r="J67" s="837"/>
      <c r="K67" s="837"/>
      <c r="L67" s="837"/>
      <c r="M67" s="837"/>
      <c r="N67" s="837"/>
      <c r="O67" s="842"/>
      <c r="P67" s="842"/>
      <c r="Q67" s="837"/>
      <c r="R67" s="842"/>
      <c r="S67" s="842"/>
      <c r="T67" s="842"/>
      <c r="U67" s="837"/>
      <c r="V67" s="837"/>
      <c r="W67" s="837"/>
      <c r="X67" s="837"/>
      <c r="Y67" s="837"/>
      <c r="Z67" s="837"/>
      <c r="AA67" s="837"/>
      <c r="AB67" s="837"/>
      <c r="AC67" s="837"/>
      <c r="AD67" s="837"/>
      <c r="AE67" s="837"/>
      <c r="AF67" s="837"/>
      <c r="AG67" s="837"/>
      <c r="AH67" s="837"/>
      <c r="AI67" s="837"/>
      <c r="AJ67" s="837"/>
      <c r="AK67" s="837"/>
      <c r="AL67" s="837"/>
      <c r="AM67" s="837"/>
      <c r="AN67" s="837"/>
      <c r="AO67" s="837"/>
      <c r="AP67" s="837"/>
      <c r="AQ67" s="837"/>
      <c r="AR67" s="837"/>
      <c r="AS67" s="837"/>
      <c r="AT67" s="837"/>
      <c r="AU67" s="837"/>
      <c r="AV67" s="837"/>
      <c r="AW67" s="837"/>
      <c r="AX67" s="837"/>
      <c r="AY67" s="837"/>
      <c r="AZ67" s="837"/>
      <c r="BA67" s="837"/>
      <c r="BB67" s="837"/>
      <c r="BC67" s="837"/>
      <c r="BD67" s="837"/>
      <c r="BE67" s="837"/>
      <c r="BF67" s="837"/>
      <c r="BG67" s="837"/>
      <c r="BH67" s="837"/>
      <c r="BI67" s="837"/>
      <c r="BJ67" s="837"/>
      <c r="BK67" s="847">
        <v>44606000000</v>
      </c>
      <c r="BL67" s="837">
        <v>42900000000</v>
      </c>
      <c r="BM67" s="837">
        <v>0</v>
      </c>
      <c r="BN67" s="837">
        <v>0</v>
      </c>
      <c r="BO67" s="831"/>
      <c r="BP67" s="837"/>
      <c r="BQ67" s="837"/>
      <c r="BR67" s="837"/>
      <c r="BS67" s="831"/>
      <c r="BT67" s="837"/>
      <c r="BU67" s="837"/>
      <c r="BV67" s="837"/>
      <c r="BW67" s="831"/>
      <c r="BX67" s="837"/>
      <c r="BY67" s="837"/>
      <c r="BZ67" s="837"/>
      <c r="CA67" s="837"/>
      <c r="CB67" s="837"/>
      <c r="CC67" s="837"/>
      <c r="CD67" s="837"/>
      <c r="CE67" s="837"/>
      <c r="CF67" s="837"/>
      <c r="CG67" s="837"/>
      <c r="CH67" s="837"/>
      <c r="CI67" s="837"/>
      <c r="CJ67" s="837"/>
      <c r="CK67" s="837"/>
      <c r="CL67" s="837"/>
      <c r="CM67" s="836">
        <v>0</v>
      </c>
      <c r="CN67" s="836">
        <v>0</v>
      </c>
      <c r="CO67" s="836"/>
      <c r="CP67" s="836">
        <v>0</v>
      </c>
      <c r="CQ67" s="836">
        <v>0</v>
      </c>
      <c r="CR67" s="836">
        <v>0</v>
      </c>
      <c r="CS67" s="836">
        <v>0</v>
      </c>
      <c r="CT67" s="836">
        <v>0</v>
      </c>
      <c r="CU67" s="836"/>
      <c r="CV67" s="836"/>
      <c r="CW67" s="836"/>
      <c r="CX67" s="836"/>
      <c r="CY67" s="836"/>
      <c r="CZ67" s="836"/>
      <c r="DA67" s="836"/>
      <c r="DB67" s="836"/>
      <c r="DC67" s="836"/>
      <c r="DD67" s="836"/>
      <c r="DE67" s="836"/>
      <c r="DF67" s="836"/>
      <c r="DG67" s="836">
        <v>0</v>
      </c>
      <c r="DH67" s="836">
        <v>0</v>
      </c>
      <c r="DI67" s="836">
        <v>0</v>
      </c>
      <c r="DJ67" s="836">
        <v>0</v>
      </c>
      <c r="DK67" s="836"/>
      <c r="DL67" s="836"/>
      <c r="DM67" s="836"/>
      <c r="DN67" s="836"/>
      <c r="DO67" s="852">
        <v>4097703640</v>
      </c>
      <c r="DP67" s="831">
        <v>4019362385</v>
      </c>
      <c r="DQ67" s="837"/>
      <c r="DR67" s="837"/>
      <c r="DS67" s="829"/>
      <c r="DT67" s="829"/>
      <c r="DU67" s="837"/>
      <c r="DV67" s="837"/>
      <c r="DW67" s="829"/>
      <c r="DX67" s="829"/>
      <c r="DY67" s="837"/>
      <c r="DZ67" s="837"/>
      <c r="EA67" s="842"/>
      <c r="EB67" s="842"/>
      <c r="EC67" s="837"/>
      <c r="ED67" s="837"/>
      <c r="EE67" s="832">
        <f t="shared" ref="EE67:EH68" si="84">+C67+G67+K67+O67+S67+W67+AA67+AE67+AI67+AM67+AQ67+AU67+AY67+BC67+BG67+BK67+BO67+BS67+BW67+CA67+CE67+CI67+CM67+CQ67+CU67+CY67+DC67+DG67+DK67+DO67+EA67+DS67+DW67</f>
        <v>48703703640</v>
      </c>
      <c r="EF67" s="832">
        <f t="shared" si="84"/>
        <v>46919362385</v>
      </c>
      <c r="EG67" s="832">
        <f t="shared" si="84"/>
        <v>0</v>
      </c>
      <c r="EH67" s="832">
        <f t="shared" si="84"/>
        <v>0</v>
      </c>
      <c r="EI67" s="725">
        <f t="shared" ref="EI67:EI98" si="85">+EE67-B67</f>
        <v>0</v>
      </c>
      <c r="EJ67" s="838"/>
      <c r="EK67" s="813"/>
    </row>
    <row r="68" spans="1:141" ht="21.75" customHeight="1" thickTop="1" thickBot="1" x14ac:dyDescent="0.3">
      <c r="A68" s="825" t="s">
        <v>1596</v>
      </c>
      <c r="B68" s="826">
        <f>+'Anexo 5.2. informe Gastos'!I166</f>
        <v>6271729538</v>
      </c>
      <c r="C68" s="847">
        <v>250056738</v>
      </c>
      <c r="D68" s="851">
        <v>249826593</v>
      </c>
      <c r="E68" s="837">
        <v>0</v>
      </c>
      <c r="F68" s="837">
        <v>0</v>
      </c>
      <c r="G68" s="837"/>
      <c r="H68" s="837"/>
      <c r="I68" s="837"/>
      <c r="J68" s="837"/>
      <c r="K68" s="837"/>
      <c r="L68" s="837"/>
      <c r="M68" s="837"/>
      <c r="N68" s="837"/>
      <c r="O68" s="842"/>
      <c r="P68" s="842"/>
      <c r="Q68" s="837"/>
      <c r="R68" s="842"/>
      <c r="S68" s="842"/>
      <c r="T68" s="842"/>
      <c r="U68" s="837"/>
      <c r="V68" s="837"/>
      <c r="W68" s="837"/>
      <c r="X68" s="837"/>
      <c r="Y68" s="837"/>
      <c r="Z68" s="837"/>
      <c r="AA68" s="837"/>
      <c r="AB68" s="837"/>
      <c r="AC68" s="837"/>
      <c r="AD68" s="837"/>
      <c r="AE68" s="837"/>
      <c r="AF68" s="837"/>
      <c r="AG68" s="837"/>
      <c r="AH68" s="837"/>
      <c r="AI68" s="837"/>
      <c r="AJ68" s="837"/>
      <c r="AK68" s="837"/>
      <c r="AL68" s="837"/>
      <c r="AM68" s="837"/>
      <c r="AN68" s="837"/>
      <c r="AO68" s="837"/>
      <c r="AP68" s="837"/>
      <c r="AQ68" s="837"/>
      <c r="AR68" s="837"/>
      <c r="AS68" s="837"/>
      <c r="AT68" s="837"/>
      <c r="AU68" s="837"/>
      <c r="AV68" s="837"/>
      <c r="AW68" s="837"/>
      <c r="AX68" s="837"/>
      <c r="AY68" s="837"/>
      <c r="AZ68" s="837"/>
      <c r="BA68" s="837"/>
      <c r="BB68" s="837"/>
      <c r="BC68" s="837"/>
      <c r="BD68" s="837"/>
      <c r="BE68" s="837"/>
      <c r="BF68" s="837"/>
      <c r="BG68" s="837"/>
      <c r="BH68" s="837"/>
      <c r="BI68" s="837"/>
      <c r="BJ68" s="837"/>
      <c r="BK68" s="837"/>
      <c r="BL68" s="837"/>
      <c r="BM68" s="837"/>
      <c r="BN68" s="837"/>
      <c r="BO68" s="837"/>
      <c r="BP68" s="837"/>
      <c r="BQ68" s="837"/>
      <c r="BR68" s="837"/>
      <c r="BS68" s="837"/>
      <c r="BT68" s="837"/>
      <c r="BU68" s="837"/>
      <c r="BV68" s="837"/>
      <c r="BW68" s="837"/>
      <c r="BX68" s="837"/>
      <c r="BY68" s="837"/>
      <c r="BZ68" s="837"/>
      <c r="CA68" s="837"/>
      <c r="CB68" s="837"/>
      <c r="CC68" s="837"/>
      <c r="CD68" s="837"/>
      <c r="CE68" s="837"/>
      <c r="CF68" s="837"/>
      <c r="CG68" s="837"/>
      <c r="CH68" s="837"/>
      <c r="CI68" s="837"/>
      <c r="CJ68" s="837"/>
      <c r="CK68" s="837"/>
      <c r="CL68" s="837"/>
      <c r="CM68" s="834">
        <f>6021672800-2200867444</f>
        <v>3820805356</v>
      </c>
      <c r="CN68" s="831">
        <v>2412951420</v>
      </c>
      <c r="CO68" s="831">
        <f>2412951420-1085260403</f>
        <v>1327691017</v>
      </c>
      <c r="CP68" s="831">
        <v>1327691017</v>
      </c>
      <c r="CQ68" s="834">
        <v>2200867444</v>
      </c>
      <c r="CR68" s="831"/>
      <c r="CS68" s="831"/>
      <c r="CT68" s="831"/>
      <c r="CU68" s="829"/>
      <c r="CV68" s="831"/>
      <c r="CW68" s="831"/>
      <c r="CX68" s="831"/>
      <c r="CY68" s="829"/>
      <c r="CZ68" s="831"/>
      <c r="DA68" s="831"/>
      <c r="DB68" s="831"/>
      <c r="DC68" s="829"/>
      <c r="DD68" s="831"/>
      <c r="DE68" s="831"/>
      <c r="DF68" s="831"/>
      <c r="DG68" s="829"/>
      <c r="DH68" s="831"/>
      <c r="DI68" s="831"/>
      <c r="DJ68" s="831"/>
      <c r="DK68" s="829"/>
      <c r="DL68" s="831"/>
      <c r="DM68" s="831"/>
      <c r="DN68" s="831"/>
      <c r="DO68" s="829"/>
      <c r="DP68" s="829"/>
      <c r="DQ68" s="829"/>
      <c r="DR68" s="829"/>
      <c r="DS68" s="829"/>
      <c r="DT68" s="829"/>
      <c r="DU68" s="837"/>
      <c r="DV68" s="837"/>
      <c r="DW68" s="829"/>
      <c r="DX68" s="829"/>
      <c r="DY68" s="837"/>
      <c r="DZ68" s="837"/>
      <c r="EA68" s="842"/>
      <c r="EB68" s="842"/>
      <c r="EC68" s="837"/>
      <c r="ED68" s="837"/>
      <c r="EE68" s="832">
        <f t="shared" si="84"/>
        <v>6271729538</v>
      </c>
      <c r="EF68" s="832">
        <f t="shared" si="84"/>
        <v>2662778013</v>
      </c>
      <c r="EG68" s="832">
        <f t="shared" si="84"/>
        <v>1327691017</v>
      </c>
      <c r="EH68" s="832">
        <f t="shared" si="84"/>
        <v>1327691017</v>
      </c>
      <c r="EI68" s="725">
        <f t="shared" si="85"/>
        <v>0</v>
      </c>
      <c r="EJ68" s="838"/>
      <c r="EK68" s="813"/>
    </row>
    <row r="69" spans="1:141" ht="40.5" customHeight="1" thickTop="1" thickBot="1" x14ac:dyDescent="0.3">
      <c r="A69" s="854" t="s">
        <v>1597</v>
      </c>
      <c r="B69" s="855">
        <f>+B70+B74</f>
        <v>472708992</v>
      </c>
      <c r="C69" s="855">
        <f t="shared" ref="C69:CE69" si="86">+C70+C74</f>
        <v>0</v>
      </c>
      <c r="D69" s="855">
        <f t="shared" si="86"/>
        <v>0</v>
      </c>
      <c r="E69" s="855">
        <f t="shared" si="86"/>
        <v>0</v>
      </c>
      <c r="F69" s="855">
        <f t="shared" si="86"/>
        <v>0</v>
      </c>
      <c r="G69" s="855">
        <f t="shared" si="86"/>
        <v>0</v>
      </c>
      <c r="H69" s="855">
        <f t="shared" si="86"/>
        <v>0</v>
      </c>
      <c r="I69" s="855">
        <f t="shared" si="86"/>
        <v>0</v>
      </c>
      <c r="J69" s="855">
        <f t="shared" si="86"/>
        <v>0</v>
      </c>
      <c r="K69" s="855">
        <f>+K70+K74</f>
        <v>0</v>
      </c>
      <c r="L69" s="855">
        <f>+L70+L74</f>
        <v>0</v>
      </c>
      <c r="M69" s="855">
        <f>+M70+M74</f>
        <v>0</v>
      </c>
      <c r="N69" s="855">
        <f>+N70+N74</f>
        <v>0</v>
      </c>
      <c r="O69" s="855">
        <f t="shared" si="86"/>
        <v>283680</v>
      </c>
      <c r="P69" s="855">
        <f t="shared" si="86"/>
        <v>0</v>
      </c>
      <c r="Q69" s="855">
        <f t="shared" si="86"/>
        <v>0</v>
      </c>
      <c r="R69" s="855">
        <f t="shared" si="86"/>
        <v>0</v>
      </c>
      <c r="S69" s="855">
        <f t="shared" si="86"/>
        <v>0</v>
      </c>
      <c r="T69" s="855">
        <f t="shared" si="86"/>
        <v>0</v>
      </c>
      <c r="U69" s="855">
        <f t="shared" si="86"/>
        <v>0</v>
      </c>
      <c r="V69" s="855">
        <f t="shared" si="86"/>
        <v>0</v>
      </c>
      <c r="W69" s="855">
        <f t="shared" si="86"/>
        <v>0</v>
      </c>
      <c r="X69" s="855">
        <f t="shared" si="86"/>
        <v>0</v>
      </c>
      <c r="Y69" s="855">
        <f t="shared" si="86"/>
        <v>0</v>
      </c>
      <c r="Z69" s="855">
        <f t="shared" si="86"/>
        <v>0</v>
      </c>
      <c r="AA69" s="855">
        <f t="shared" si="86"/>
        <v>0</v>
      </c>
      <c r="AB69" s="855">
        <f t="shared" si="86"/>
        <v>0</v>
      </c>
      <c r="AC69" s="855">
        <f t="shared" si="86"/>
        <v>0</v>
      </c>
      <c r="AD69" s="855">
        <f t="shared" si="86"/>
        <v>0</v>
      </c>
      <c r="AE69" s="855">
        <f>+AE70+AE74</f>
        <v>0</v>
      </c>
      <c r="AF69" s="855">
        <f>+AF70+AF74</f>
        <v>0</v>
      </c>
      <c r="AG69" s="855">
        <f>+AG70+AG74</f>
        <v>0</v>
      </c>
      <c r="AH69" s="855">
        <f>+AH70+AH74</f>
        <v>0</v>
      </c>
      <c r="AI69" s="855">
        <f t="shared" si="86"/>
        <v>0</v>
      </c>
      <c r="AJ69" s="855">
        <f t="shared" si="86"/>
        <v>0</v>
      </c>
      <c r="AK69" s="855">
        <f t="shared" si="86"/>
        <v>0</v>
      </c>
      <c r="AL69" s="855">
        <f t="shared" si="86"/>
        <v>0</v>
      </c>
      <c r="AM69" s="855">
        <f t="shared" si="86"/>
        <v>0</v>
      </c>
      <c r="AN69" s="855">
        <f t="shared" si="86"/>
        <v>0</v>
      </c>
      <c r="AO69" s="855">
        <f t="shared" si="86"/>
        <v>0</v>
      </c>
      <c r="AP69" s="855">
        <f t="shared" si="86"/>
        <v>0</v>
      </c>
      <c r="AQ69" s="855">
        <f t="shared" si="86"/>
        <v>0</v>
      </c>
      <c r="AR69" s="855">
        <f t="shared" si="86"/>
        <v>0</v>
      </c>
      <c r="AS69" s="855">
        <f t="shared" si="86"/>
        <v>0</v>
      </c>
      <c r="AT69" s="855">
        <f t="shared" si="86"/>
        <v>0</v>
      </c>
      <c r="AU69" s="855">
        <f t="shared" si="86"/>
        <v>0</v>
      </c>
      <c r="AV69" s="855">
        <f t="shared" si="86"/>
        <v>0</v>
      </c>
      <c r="AW69" s="855">
        <f t="shared" si="86"/>
        <v>0</v>
      </c>
      <c r="AX69" s="855">
        <f t="shared" si="86"/>
        <v>0</v>
      </c>
      <c r="AY69" s="855">
        <f t="shared" si="86"/>
        <v>0</v>
      </c>
      <c r="AZ69" s="855">
        <f t="shared" si="86"/>
        <v>0</v>
      </c>
      <c r="BA69" s="855">
        <f t="shared" si="86"/>
        <v>0</v>
      </c>
      <c r="BB69" s="855">
        <f t="shared" si="86"/>
        <v>0</v>
      </c>
      <c r="BC69" s="855">
        <f t="shared" si="86"/>
        <v>0</v>
      </c>
      <c r="BD69" s="855">
        <f t="shared" si="86"/>
        <v>0</v>
      </c>
      <c r="BE69" s="855">
        <f t="shared" si="86"/>
        <v>0</v>
      </c>
      <c r="BF69" s="855">
        <f t="shared" si="86"/>
        <v>0</v>
      </c>
      <c r="BG69" s="855">
        <f t="shared" si="86"/>
        <v>0</v>
      </c>
      <c r="BH69" s="855">
        <f t="shared" si="86"/>
        <v>0</v>
      </c>
      <c r="BI69" s="855">
        <f t="shared" si="86"/>
        <v>0</v>
      </c>
      <c r="BJ69" s="855">
        <f t="shared" si="86"/>
        <v>0</v>
      </c>
      <c r="BK69" s="855">
        <f t="shared" si="86"/>
        <v>0</v>
      </c>
      <c r="BL69" s="855">
        <f t="shared" si="86"/>
        <v>0</v>
      </c>
      <c r="BM69" s="855">
        <f t="shared" si="86"/>
        <v>0</v>
      </c>
      <c r="BN69" s="855">
        <f t="shared" si="86"/>
        <v>0</v>
      </c>
      <c r="BO69" s="855">
        <f>+BO70+BO74</f>
        <v>18495872</v>
      </c>
      <c r="BP69" s="855">
        <f>+BP70+BP74</f>
        <v>0</v>
      </c>
      <c r="BQ69" s="855">
        <f>+BQ70+BQ74</f>
        <v>0</v>
      </c>
      <c r="BR69" s="855">
        <f>+BR70+BR74</f>
        <v>0</v>
      </c>
      <c r="BS69" s="855">
        <f t="shared" si="86"/>
        <v>13902435</v>
      </c>
      <c r="BT69" s="855">
        <f t="shared" si="86"/>
        <v>13902435</v>
      </c>
      <c r="BU69" s="855">
        <f t="shared" si="86"/>
        <v>13902435</v>
      </c>
      <c r="BV69" s="855">
        <f t="shared" si="86"/>
        <v>13902435</v>
      </c>
      <c r="BW69" s="855">
        <f t="shared" si="86"/>
        <v>27005</v>
      </c>
      <c r="BX69" s="855">
        <f t="shared" si="86"/>
        <v>0</v>
      </c>
      <c r="BY69" s="855">
        <f t="shared" si="86"/>
        <v>0</v>
      </c>
      <c r="BZ69" s="855">
        <f t="shared" si="86"/>
        <v>0</v>
      </c>
      <c r="CA69" s="855">
        <f>+CA70+CA74</f>
        <v>0</v>
      </c>
      <c r="CB69" s="855">
        <f>+CB70+CB74</f>
        <v>0</v>
      </c>
      <c r="CC69" s="855">
        <f>+CC70+CC74</f>
        <v>0</v>
      </c>
      <c r="CD69" s="855">
        <f>+CD70+CD74</f>
        <v>0</v>
      </c>
      <c r="CE69" s="855">
        <f t="shared" si="86"/>
        <v>0</v>
      </c>
      <c r="CF69" s="855">
        <f t="shared" ref="CF69:ED69" si="87">+CF70+CF74</f>
        <v>0</v>
      </c>
      <c r="CG69" s="855">
        <f t="shared" si="87"/>
        <v>0</v>
      </c>
      <c r="CH69" s="855">
        <f t="shared" si="87"/>
        <v>0</v>
      </c>
      <c r="CI69" s="855">
        <f t="shared" si="87"/>
        <v>0</v>
      </c>
      <c r="CJ69" s="855">
        <f t="shared" si="87"/>
        <v>0</v>
      </c>
      <c r="CK69" s="855">
        <f t="shared" si="87"/>
        <v>0</v>
      </c>
      <c r="CL69" s="855">
        <f t="shared" si="87"/>
        <v>0</v>
      </c>
      <c r="CM69" s="855">
        <f t="shared" si="87"/>
        <v>440000000</v>
      </c>
      <c r="CN69" s="855">
        <f t="shared" si="87"/>
        <v>306097565</v>
      </c>
      <c r="CO69" s="855">
        <f t="shared" si="87"/>
        <v>194597565</v>
      </c>
      <c r="CP69" s="855">
        <f t="shared" si="87"/>
        <v>194597565</v>
      </c>
      <c r="CQ69" s="855">
        <f t="shared" si="87"/>
        <v>0</v>
      </c>
      <c r="CR69" s="855">
        <f t="shared" si="87"/>
        <v>0</v>
      </c>
      <c r="CS69" s="855">
        <f t="shared" si="87"/>
        <v>0</v>
      </c>
      <c r="CT69" s="855">
        <f t="shared" si="87"/>
        <v>0</v>
      </c>
      <c r="CU69" s="855">
        <f t="shared" si="87"/>
        <v>0</v>
      </c>
      <c r="CV69" s="855">
        <f t="shared" si="87"/>
        <v>0</v>
      </c>
      <c r="CW69" s="855">
        <f t="shared" si="87"/>
        <v>0</v>
      </c>
      <c r="CX69" s="855">
        <f t="shared" si="87"/>
        <v>0</v>
      </c>
      <c r="CY69" s="855">
        <f t="shared" si="87"/>
        <v>0</v>
      </c>
      <c r="CZ69" s="855">
        <f t="shared" si="87"/>
        <v>0</v>
      </c>
      <c r="DA69" s="855">
        <f t="shared" si="87"/>
        <v>0</v>
      </c>
      <c r="DB69" s="855">
        <f t="shared" si="87"/>
        <v>0</v>
      </c>
      <c r="DC69" s="855">
        <f t="shared" si="87"/>
        <v>0</v>
      </c>
      <c r="DD69" s="855">
        <f t="shared" si="87"/>
        <v>0</v>
      </c>
      <c r="DE69" s="855">
        <f t="shared" si="87"/>
        <v>0</v>
      </c>
      <c r="DF69" s="855">
        <f t="shared" si="87"/>
        <v>0</v>
      </c>
      <c r="DG69" s="855">
        <f t="shared" si="87"/>
        <v>0</v>
      </c>
      <c r="DH69" s="855">
        <f t="shared" si="87"/>
        <v>0</v>
      </c>
      <c r="DI69" s="855">
        <f t="shared" si="87"/>
        <v>0</v>
      </c>
      <c r="DJ69" s="855">
        <f t="shared" si="87"/>
        <v>0</v>
      </c>
      <c r="DK69" s="855">
        <f t="shared" si="87"/>
        <v>0</v>
      </c>
      <c r="DL69" s="855">
        <f t="shared" si="87"/>
        <v>0</v>
      </c>
      <c r="DM69" s="855">
        <f t="shared" si="87"/>
        <v>0</v>
      </c>
      <c r="DN69" s="855">
        <f t="shared" si="87"/>
        <v>0</v>
      </c>
      <c r="DO69" s="855">
        <f t="shared" si="87"/>
        <v>0</v>
      </c>
      <c r="DP69" s="855">
        <f t="shared" si="87"/>
        <v>0</v>
      </c>
      <c r="DQ69" s="855">
        <f t="shared" si="87"/>
        <v>0</v>
      </c>
      <c r="DR69" s="855">
        <f t="shared" si="87"/>
        <v>0</v>
      </c>
      <c r="DS69" s="855">
        <f t="shared" si="87"/>
        <v>0</v>
      </c>
      <c r="DT69" s="855">
        <f t="shared" si="87"/>
        <v>0</v>
      </c>
      <c r="DU69" s="855">
        <f t="shared" si="87"/>
        <v>0</v>
      </c>
      <c r="DV69" s="855">
        <f t="shared" si="87"/>
        <v>0</v>
      </c>
      <c r="DW69" s="855">
        <f t="shared" si="87"/>
        <v>0</v>
      </c>
      <c r="DX69" s="855">
        <f t="shared" si="87"/>
        <v>0</v>
      </c>
      <c r="DY69" s="855">
        <f t="shared" si="87"/>
        <v>0</v>
      </c>
      <c r="DZ69" s="855">
        <f t="shared" si="87"/>
        <v>0</v>
      </c>
      <c r="EA69" s="855">
        <f t="shared" si="87"/>
        <v>0</v>
      </c>
      <c r="EB69" s="855">
        <f t="shared" si="87"/>
        <v>0</v>
      </c>
      <c r="EC69" s="855">
        <f t="shared" si="87"/>
        <v>0</v>
      </c>
      <c r="ED69" s="855">
        <f t="shared" si="87"/>
        <v>0</v>
      </c>
      <c r="EE69" s="856">
        <f>+C69+G69+K69+O69+S69+W69+AA69+AE69+AI69+AM69+AQ69+AU69+AY69+BC69+BG69+BK69+BO69+BS69+BW69+CA69+CE69+CI69+CM69+CQ69+CU69+CY69+DC69+DG69+DK69+DO69+EA69+DS69+DW69</f>
        <v>472708992</v>
      </c>
      <c r="EF69" s="856">
        <f>+D69+H69+L69+P69+T69+X69+AB69+AF69+AJ69+AN69+AR69+AV69+AZ69+BD69+BH69+BL69+BP69+BT69+BX69+CB69+CF69+CJ69+CN69+CR69+CV69+CZ69+DD69+DH69+DL69+DP69+EB69+DT69+DX69</f>
        <v>320000000</v>
      </c>
      <c r="EG69" s="856">
        <f>+E69+I69+M69+Q69+U69+Y69+AC69+AG69+AK69+AO69+AS69+AW69+BA69+BE69+BI69+BM69+BQ69+BU69+BY69+CC69+CG69+CK69+CO69+CS69+CW69+DA69+DE69+DI69+DM69+DQ69+EC69+DU69+DY69</f>
        <v>208500000</v>
      </c>
      <c r="EH69" s="856">
        <f>+F69+J69+N69+R69+V69+Z69+AD69+AH69+AL69+AP69+AT69+AX69+BB69+BF69+BJ69+BN69+BR69+BV69+BZ69+CD69+CH69+CL69+CP69+CT69+CX69+DB69+DF69+DJ69+DN69+DR69+ED69+DV69+DZ69</f>
        <v>208500000</v>
      </c>
      <c r="EI69" s="817">
        <f t="shared" si="85"/>
        <v>0</v>
      </c>
      <c r="EK69" s="813"/>
    </row>
    <row r="70" spans="1:141" ht="29.25" customHeight="1" thickTop="1" thickBot="1" x14ac:dyDescent="0.3">
      <c r="A70" s="822" t="s">
        <v>1598</v>
      </c>
      <c r="B70" s="823">
        <f>SUM(B71:B73)</f>
        <v>0</v>
      </c>
      <c r="C70" s="823">
        <f t="shared" ref="C70:CE70" si="88">SUM(C71:C73)</f>
        <v>0</v>
      </c>
      <c r="D70" s="823">
        <f t="shared" si="88"/>
        <v>0</v>
      </c>
      <c r="E70" s="823">
        <f t="shared" si="88"/>
        <v>0</v>
      </c>
      <c r="F70" s="823">
        <f t="shared" si="88"/>
        <v>0</v>
      </c>
      <c r="G70" s="823">
        <f t="shared" si="88"/>
        <v>0</v>
      </c>
      <c r="H70" s="823">
        <f t="shared" si="88"/>
        <v>0</v>
      </c>
      <c r="I70" s="823">
        <f t="shared" si="88"/>
        <v>0</v>
      </c>
      <c r="J70" s="823">
        <f t="shared" si="88"/>
        <v>0</v>
      </c>
      <c r="K70" s="823">
        <f>SUM(K71:K73)</f>
        <v>0</v>
      </c>
      <c r="L70" s="823">
        <f>SUM(L71:L73)</f>
        <v>0</v>
      </c>
      <c r="M70" s="823">
        <f>SUM(M71:M73)</f>
        <v>0</v>
      </c>
      <c r="N70" s="823">
        <f>SUM(N71:N73)</f>
        <v>0</v>
      </c>
      <c r="O70" s="823">
        <f t="shared" si="88"/>
        <v>0</v>
      </c>
      <c r="P70" s="823">
        <f t="shared" si="88"/>
        <v>0</v>
      </c>
      <c r="Q70" s="823">
        <f t="shared" si="88"/>
        <v>0</v>
      </c>
      <c r="R70" s="823">
        <f t="shared" si="88"/>
        <v>0</v>
      </c>
      <c r="S70" s="823">
        <f t="shared" si="88"/>
        <v>0</v>
      </c>
      <c r="T70" s="823">
        <f t="shared" si="88"/>
        <v>0</v>
      </c>
      <c r="U70" s="823">
        <f t="shared" si="88"/>
        <v>0</v>
      </c>
      <c r="V70" s="823">
        <f t="shared" si="88"/>
        <v>0</v>
      </c>
      <c r="W70" s="823">
        <f t="shared" si="88"/>
        <v>0</v>
      </c>
      <c r="X70" s="823">
        <f t="shared" si="88"/>
        <v>0</v>
      </c>
      <c r="Y70" s="823">
        <f t="shared" si="88"/>
        <v>0</v>
      </c>
      <c r="Z70" s="823">
        <f t="shared" si="88"/>
        <v>0</v>
      </c>
      <c r="AA70" s="823">
        <f t="shared" si="88"/>
        <v>0</v>
      </c>
      <c r="AB70" s="823">
        <f t="shared" si="88"/>
        <v>0</v>
      </c>
      <c r="AC70" s="823">
        <f t="shared" si="88"/>
        <v>0</v>
      </c>
      <c r="AD70" s="823">
        <f t="shared" si="88"/>
        <v>0</v>
      </c>
      <c r="AE70" s="823">
        <f>SUM(AE71:AE73)</f>
        <v>0</v>
      </c>
      <c r="AF70" s="823">
        <f>SUM(AF71:AF73)</f>
        <v>0</v>
      </c>
      <c r="AG70" s="823">
        <f>SUM(AG71:AG73)</f>
        <v>0</v>
      </c>
      <c r="AH70" s="823">
        <f>SUM(AH71:AH73)</f>
        <v>0</v>
      </c>
      <c r="AI70" s="823">
        <f t="shared" si="88"/>
        <v>0</v>
      </c>
      <c r="AJ70" s="823">
        <f t="shared" si="88"/>
        <v>0</v>
      </c>
      <c r="AK70" s="823">
        <f t="shared" si="88"/>
        <v>0</v>
      </c>
      <c r="AL70" s="823">
        <f t="shared" si="88"/>
        <v>0</v>
      </c>
      <c r="AM70" s="823">
        <f t="shared" si="88"/>
        <v>0</v>
      </c>
      <c r="AN70" s="823">
        <f t="shared" si="88"/>
        <v>0</v>
      </c>
      <c r="AO70" s="823">
        <f t="shared" si="88"/>
        <v>0</v>
      </c>
      <c r="AP70" s="823">
        <f t="shared" si="88"/>
        <v>0</v>
      </c>
      <c r="AQ70" s="823">
        <f t="shared" si="88"/>
        <v>0</v>
      </c>
      <c r="AR70" s="823">
        <f t="shared" si="88"/>
        <v>0</v>
      </c>
      <c r="AS70" s="823">
        <f t="shared" si="88"/>
        <v>0</v>
      </c>
      <c r="AT70" s="823">
        <f t="shared" si="88"/>
        <v>0</v>
      </c>
      <c r="AU70" s="823">
        <f t="shared" si="88"/>
        <v>0</v>
      </c>
      <c r="AV70" s="823">
        <f t="shared" si="88"/>
        <v>0</v>
      </c>
      <c r="AW70" s="823">
        <f t="shared" si="88"/>
        <v>0</v>
      </c>
      <c r="AX70" s="823">
        <f t="shared" si="88"/>
        <v>0</v>
      </c>
      <c r="AY70" s="823">
        <f t="shared" si="88"/>
        <v>0</v>
      </c>
      <c r="AZ70" s="823">
        <f t="shared" si="88"/>
        <v>0</v>
      </c>
      <c r="BA70" s="823">
        <f t="shared" si="88"/>
        <v>0</v>
      </c>
      <c r="BB70" s="823">
        <f t="shared" si="88"/>
        <v>0</v>
      </c>
      <c r="BC70" s="823">
        <f t="shared" si="88"/>
        <v>0</v>
      </c>
      <c r="BD70" s="823">
        <f t="shared" si="88"/>
        <v>0</v>
      </c>
      <c r="BE70" s="823">
        <f t="shared" si="88"/>
        <v>0</v>
      </c>
      <c r="BF70" s="823">
        <f t="shared" si="88"/>
        <v>0</v>
      </c>
      <c r="BG70" s="823">
        <f t="shared" si="88"/>
        <v>0</v>
      </c>
      <c r="BH70" s="823">
        <f t="shared" si="88"/>
        <v>0</v>
      </c>
      <c r="BI70" s="823">
        <f t="shared" si="88"/>
        <v>0</v>
      </c>
      <c r="BJ70" s="823">
        <f t="shared" si="88"/>
        <v>0</v>
      </c>
      <c r="BK70" s="823">
        <f t="shared" si="88"/>
        <v>0</v>
      </c>
      <c r="BL70" s="823">
        <f t="shared" si="88"/>
        <v>0</v>
      </c>
      <c r="BM70" s="823">
        <f t="shared" si="88"/>
        <v>0</v>
      </c>
      <c r="BN70" s="823">
        <f t="shared" si="88"/>
        <v>0</v>
      </c>
      <c r="BO70" s="823">
        <f>SUM(BO71:BO73)</f>
        <v>0</v>
      </c>
      <c r="BP70" s="823">
        <f>SUM(BP71:BP73)</f>
        <v>0</v>
      </c>
      <c r="BQ70" s="823">
        <f>SUM(BQ71:BQ73)</f>
        <v>0</v>
      </c>
      <c r="BR70" s="823">
        <f>SUM(BR71:BR73)</f>
        <v>0</v>
      </c>
      <c r="BS70" s="823">
        <f t="shared" si="88"/>
        <v>0</v>
      </c>
      <c r="BT70" s="823">
        <f t="shared" si="88"/>
        <v>0</v>
      </c>
      <c r="BU70" s="823">
        <f t="shared" si="88"/>
        <v>0</v>
      </c>
      <c r="BV70" s="823">
        <f t="shared" si="88"/>
        <v>0</v>
      </c>
      <c r="BW70" s="823">
        <f t="shared" si="88"/>
        <v>0</v>
      </c>
      <c r="BX70" s="823">
        <f t="shared" si="88"/>
        <v>0</v>
      </c>
      <c r="BY70" s="823">
        <f t="shared" si="88"/>
        <v>0</v>
      </c>
      <c r="BZ70" s="823">
        <f t="shared" si="88"/>
        <v>0</v>
      </c>
      <c r="CA70" s="823">
        <f>SUM(CA71:CA73)</f>
        <v>0</v>
      </c>
      <c r="CB70" s="823">
        <f>SUM(CB71:CB73)</f>
        <v>0</v>
      </c>
      <c r="CC70" s="823">
        <f>SUM(CC71:CC73)</f>
        <v>0</v>
      </c>
      <c r="CD70" s="823">
        <f>SUM(CD71:CD73)</f>
        <v>0</v>
      </c>
      <c r="CE70" s="823">
        <f t="shared" si="88"/>
        <v>0</v>
      </c>
      <c r="CF70" s="823">
        <f t="shared" ref="CF70:ED70" si="89">SUM(CF71:CF73)</f>
        <v>0</v>
      </c>
      <c r="CG70" s="823">
        <f t="shared" si="89"/>
        <v>0</v>
      </c>
      <c r="CH70" s="823">
        <f t="shared" si="89"/>
        <v>0</v>
      </c>
      <c r="CI70" s="823">
        <f t="shared" si="89"/>
        <v>0</v>
      </c>
      <c r="CJ70" s="823">
        <f t="shared" si="89"/>
        <v>0</v>
      </c>
      <c r="CK70" s="823">
        <f t="shared" si="89"/>
        <v>0</v>
      </c>
      <c r="CL70" s="823">
        <f t="shared" si="89"/>
        <v>0</v>
      </c>
      <c r="CM70" s="823">
        <f t="shared" si="89"/>
        <v>0</v>
      </c>
      <c r="CN70" s="823">
        <f t="shared" si="89"/>
        <v>0</v>
      </c>
      <c r="CO70" s="823">
        <f t="shared" si="89"/>
        <v>0</v>
      </c>
      <c r="CP70" s="823">
        <f t="shared" si="89"/>
        <v>0</v>
      </c>
      <c r="CQ70" s="823">
        <f t="shared" si="89"/>
        <v>0</v>
      </c>
      <c r="CR70" s="823">
        <f t="shared" si="89"/>
        <v>0</v>
      </c>
      <c r="CS70" s="823">
        <f t="shared" si="89"/>
        <v>0</v>
      </c>
      <c r="CT70" s="823">
        <f t="shared" si="89"/>
        <v>0</v>
      </c>
      <c r="CU70" s="823">
        <f t="shared" si="89"/>
        <v>0</v>
      </c>
      <c r="CV70" s="823">
        <f t="shared" si="89"/>
        <v>0</v>
      </c>
      <c r="CW70" s="823">
        <f t="shared" si="89"/>
        <v>0</v>
      </c>
      <c r="CX70" s="823">
        <f t="shared" si="89"/>
        <v>0</v>
      </c>
      <c r="CY70" s="823">
        <f t="shared" si="89"/>
        <v>0</v>
      </c>
      <c r="CZ70" s="823">
        <f t="shared" si="89"/>
        <v>0</v>
      </c>
      <c r="DA70" s="823">
        <f t="shared" si="89"/>
        <v>0</v>
      </c>
      <c r="DB70" s="823">
        <f t="shared" si="89"/>
        <v>0</v>
      </c>
      <c r="DC70" s="823">
        <f t="shared" si="89"/>
        <v>0</v>
      </c>
      <c r="DD70" s="823">
        <f t="shared" si="89"/>
        <v>0</v>
      </c>
      <c r="DE70" s="823">
        <f t="shared" si="89"/>
        <v>0</v>
      </c>
      <c r="DF70" s="823">
        <f t="shared" si="89"/>
        <v>0</v>
      </c>
      <c r="DG70" s="823">
        <f t="shared" si="89"/>
        <v>0</v>
      </c>
      <c r="DH70" s="823">
        <f t="shared" si="89"/>
        <v>0</v>
      </c>
      <c r="DI70" s="823">
        <f t="shared" si="89"/>
        <v>0</v>
      </c>
      <c r="DJ70" s="823">
        <f t="shared" si="89"/>
        <v>0</v>
      </c>
      <c r="DK70" s="823">
        <f t="shared" si="89"/>
        <v>0</v>
      </c>
      <c r="DL70" s="823">
        <f t="shared" si="89"/>
        <v>0</v>
      </c>
      <c r="DM70" s="823">
        <f t="shared" si="89"/>
        <v>0</v>
      </c>
      <c r="DN70" s="823">
        <f t="shared" si="89"/>
        <v>0</v>
      </c>
      <c r="DO70" s="823">
        <f t="shared" si="89"/>
        <v>0</v>
      </c>
      <c r="DP70" s="823">
        <f t="shared" si="89"/>
        <v>0</v>
      </c>
      <c r="DQ70" s="823">
        <f t="shared" si="89"/>
        <v>0</v>
      </c>
      <c r="DR70" s="823">
        <f t="shared" si="89"/>
        <v>0</v>
      </c>
      <c r="DS70" s="823">
        <f t="shared" si="89"/>
        <v>0</v>
      </c>
      <c r="DT70" s="823">
        <f t="shared" si="89"/>
        <v>0</v>
      </c>
      <c r="DU70" s="823">
        <f t="shared" si="89"/>
        <v>0</v>
      </c>
      <c r="DV70" s="823">
        <f t="shared" si="89"/>
        <v>0</v>
      </c>
      <c r="DW70" s="823">
        <f t="shared" si="89"/>
        <v>0</v>
      </c>
      <c r="DX70" s="823">
        <f t="shared" si="89"/>
        <v>0</v>
      </c>
      <c r="DY70" s="823">
        <f t="shared" si="89"/>
        <v>0</v>
      </c>
      <c r="DZ70" s="823">
        <f t="shared" si="89"/>
        <v>0</v>
      </c>
      <c r="EA70" s="823">
        <f t="shared" si="89"/>
        <v>0</v>
      </c>
      <c r="EB70" s="823">
        <f t="shared" si="89"/>
        <v>0</v>
      </c>
      <c r="EC70" s="823">
        <f t="shared" si="89"/>
        <v>0</v>
      </c>
      <c r="ED70" s="823">
        <f t="shared" si="89"/>
        <v>0</v>
      </c>
      <c r="EE70" s="857">
        <f>+C70+G70+K70+O70+S70+W70+AA70+AE70+AI70+AM70+AQ70+AU70+AY70+BC70+BG70+BK70+BO70+BS70+BW70+CA70+CE70+CI70+CM70+CQ70+CU70+CY70+DC70+DG70+DK70+DO70+EA70+DS70+DW70</f>
        <v>0</v>
      </c>
      <c r="EF70" s="857">
        <f>+D70+H70+L70+P70+T70+X70+AB70+AF70+AJ70+AN70+AR70+AV70+AZ70+BD70+BH70+BL70+BP70+BT70+BX70+CB70+CF70+CJ70+CN70+CR70+CV70+CZ70+DD70+DH70+DL70+DP70+EB70+DS70+DT70+DX70</f>
        <v>0</v>
      </c>
      <c r="EG70" s="857">
        <f>+E70+I70+M70+Q70+U70+Y70+AC70+AG70+AK70+AO70+AS70+AW70+BA70+BE70+BI70+BM70+BQ70+BU70+BY70+CC70+CG70+CK70+CO70+CS70+CW70+DA70+DE70+DI70+DM70+DQ70+EC70+DU70+DY70</f>
        <v>0</v>
      </c>
      <c r="EH70" s="857">
        <f>+F70+J70+N70+R70+V70+Z70+AD70+AH70+AL70+AP70+AT70+AX70+BB70+BF70+BJ70+BN70+BR70+BV70+BZ70+CD70+CH70+CL70+CP70+CT70+CX70+DB70+DF70+DJ70+DN70+DR70+ED70+DV70+DZ70</f>
        <v>0</v>
      </c>
      <c r="EI70" s="824">
        <f t="shared" si="85"/>
        <v>0</v>
      </c>
      <c r="EK70" s="813"/>
    </row>
    <row r="71" spans="1:141" ht="27" customHeight="1" thickTop="1" thickBot="1" x14ac:dyDescent="0.3">
      <c r="A71" s="825" t="s">
        <v>1599</v>
      </c>
      <c r="B71" s="827">
        <v>0</v>
      </c>
      <c r="C71" s="827"/>
      <c r="D71" s="827"/>
      <c r="E71" s="827"/>
      <c r="F71" s="827"/>
      <c r="G71" s="827"/>
      <c r="H71" s="827"/>
      <c r="I71" s="827"/>
      <c r="J71" s="827"/>
      <c r="K71" s="827"/>
      <c r="L71" s="827"/>
      <c r="M71" s="827"/>
      <c r="N71" s="827"/>
      <c r="O71" s="828"/>
      <c r="P71" s="828"/>
      <c r="Q71" s="827"/>
      <c r="R71" s="828"/>
      <c r="S71" s="828"/>
      <c r="T71" s="828"/>
      <c r="U71" s="827"/>
      <c r="V71" s="827"/>
      <c r="W71" s="827"/>
      <c r="X71" s="827"/>
      <c r="Y71" s="827"/>
      <c r="Z71" s="827"/>
      <c r="AA71" s="827"/>
      <c r="AB71" s="827"/>
      <c r="AC71" s="827"/>
      <c r="AD71" s="827"/>
      <c r="AE71" s="827"/>
      <c r="AF71" s="827"/>
      <c r="AG71" s="827"/>
      <c r="AH71" s="827"/>
      <c r="AI71" s="827"/>
      <c r="AJ71" s="827"/>
      <c r="AK71" s="827"/>
      <c r="AL71" s="827"/>
      <c r="AM71" s="827"/>
      <c r="AN71" s="827"/>
      <c r="AO71" s="827"/>
      <c r="AP71" s="827"/>
      <c r="AQ71" s="827"/>
      <c r="AR71" s="827"/>
      <c r="AS71" s="827"/>
      <c r="AT71" s="827"/>
      <c r="AU71" s="827"/>
      <c r="AV71" s="827"/>
      <c r="AW71" s="827"/>
      <c r="AX71" s="827"/>
      <c r="AY71" s="827"/>
      <c r="AZ71" s="827"/>
      <c r="BA71" s="827"/>
      <c r="BB71" s="827"/>
      <c r="BC71" s="827"/>
      <c r="BD71" s="827"/>
      <c r="BE71" s="827"/>
      <c r="BF71" s="827"/>
      <c r="BG71" s="827"/>
      <c r="BH71" s="827"/>
      <c r="BI71" s="827"/>
      <c r="BJ71" s="827"/>
      <c r="BK71" s="827"/>
      <c r="BL71" s="827"/>
      <c r="BM71" s="827"/>
      <c r="BN71" s="827"/>
      <c r="BO71" s="827"/>
      <c r="BP71" s="827"/>
      <c r="BQ71" s="827"/>
      <c r="BR71" s="827"/>
      <c r="BS71" s="827"/>
      <c r="BT71" s="827"/>
      <c r="BU71" s="827"/>
      <c r="BV71" s="827"/>
      <c r="BW71" s="827"/>
      <c r="BX71" s="827"/>
      <c r="BY71" s="827"/>
      <c r="BZ71" s="827"/>
      <c r="CA71" s="827"/>
      <c r="CB71" s="827"/>
      <c r="CC71" s="827"/>
      <c r="CD71" s="827"/>
      <c r="CE71" s="827"/>
      <c r="CF71" s="827"/>
      <c r="CG71" s="827"/>
      <c r="CH71" s="827"/>
      <c r="CI71" s="827"/>
      <c r="CJ71" s="827"/>
      <c r="CK71" s="827"/>
      <c r="CL71" s="827"/>
      <c r="CM71" s="827"/>
      <c r="CN71" s="827"/>
      <c r="CO71" s="827"/>
      <c r="CP71" s="827"/>
      <c r="CQ71" s="844"/>
      <c r="CR71" s="827"/>
      <c r="CS71" s="827"/>
      <c r="CT71" s="827"/>
      <c r="CU71" s="844"/>
      <c r="CV71" s="827"/>
      <c r="CW71" s="827"/>
      <c r="CX71" s="827"/>
      <c r="CY71" s="844"/>
      <c r="CZ71" s="827"/>
      <c r="DA71" s="827"/>
      <c r="DB71" s="827"/>
      <c r="DC71" s="844"/>
      <c r="DD71" s="827"/>
      <c r="DE71" s="827"/>
      <c r="DF71" s="827"/>
      <c r="DG71" s="844"/>
      <c r="DH71" s="827"/>
      <c r="DI71" s="827"/>
      <c r="DJ71" s="827"/>
      <c r="DK71" s="844"/>
      <c r="DL71" s="827"/>
      <c r="DM71" s="827"/>
      <c r="DN71" s="827"/>
      <c r="DO71" s="844"/>
      <c r="DP71" s="827"/>
      <c r="DQ71" s="827"/>
      <c r="DR71" s="827"/>
      <c r="DS71" s="844"/>
      <c r="DT71" s="827"/>
      <c r="DU71" s="827"/>
      <c r="DV71" s="827"/>
      <c r="DW71" s="844"/>
      <c r="DX71" s="827"/>
      <c r="DY71" s="827"/>
      <c r="DZ71" s="827"/>
      <c r="EA71" s="828"/>
      <c r="EB71" s="828"/>
      <c r="EC71" s="827"/>
      <c r="ED71" s="827"/>
      <c r="EE71" s="858">
        <f t="shared" ref="EE71:EE73" si="90">+C71+G71+K71+O71+S71+W71+AA71+AE71+AI71+AM71+AQ71+AU71+AY71+BC71+BG71+BK71+BO71+BS71+BW71+CA71+CE71+CI71+CM71+CQ71+CU71+CY71+DC71+DG71+DK71+DO71+EA71+DS71+DW71</f>
        <v>0</v>
      </c>
      <c r="EF71" s="858">
        <f t="shared" ref="EF71:EF73" si="91">+D71+H71+L71+P71+T71+X71+AB71+AF71+AJ71+AN71+AR71+AV71+AZ71+BD71+BH71+BL71+BP71+BT71+BX71+CB71+CF71+CJ71+CN71+CR71+CV71+CZ71+DD71+DH71+DL71+DP71+EB71+DS71+DT71+DX71</f>
        <v>0</v>
      </c>
      <c r="EG71" s="858">
        <f t="shared" ref="EG71:EH73" si="92">+E71+I71+M71+Q71+U71+Y71+AC71+AG71+AK71+AO71+AS71+AW71+BA71+BE71+BI71+BM71+BQ71+BU71+BY71+CC71+CG71+CK71+CO71+CS71+CW71+DA71+DE71+DI71+DM71+DQ71+EC71+DU71+DY71</f>
        <v>0</v>
      </c>
      <c r="EH71" s="858">
        <f t="shared" si="92"/>
        <v>0</v>
      </c>
      <c r="EI71" s="725">
        <f t="shared" si="85"/>
        <v>0</v>
      </c>
      <c r="EK71" s="813"/>
    </row>
    <row r="72" spans="1:141" ht="27" customHeight="1" thickTop="1" thickBot="1" x14ac:dyDescent="0.3">
      <c r="A72" s="825" t="s">
        <v>1600</v>
      </c>
      <c r="B72" s="827">
        <v>0</v>
      </c>
      <c r="C72" s="827"/>
      <c r="D72" s="827"/>
      <c r="E72" s="827"/>
      <c r="F72" s="827"/>
      <c r="G72" s="827"/>
      <c r="H72" s="827"/>
      <c r="I72" s="827"/>
      <c r="J72" s="827"/>
      <c r="K72" s="827"/>
      <c r="L72" s="827"/>
      <c r="M72" s="827"/>
      <c r="N72" s="827"/>
      <c r="O72" s="828"/>
      <c r="P72" s="828"/>
      <c r="Q72" s="827"/>
      <c r="R72" s="828"/>
      <c r="S72" s="828"/>
      <c r="T72" s="828"/>
      <c r="U72" s="827"/>
      <c r="V72" s="827"/>
      <c r="W72" s="827"/>
      <c r="X72" s="827"/>
      <c r="Y72" s="827"/>
      <c r="Z72" s="827"/>
      <c r="AA72" s="827"/>
      <c r="AB72" s="827"/>
      <c r="AC72" s="827"/>
      <c r="AD72" s="827"/>
      <c r="AE72" s="827"/>
      <c r="AF72" s="827"/>
      <c r="AG72" s="827"/>
      <c r="AH72" s="827"/>
      <c r="AI72" s="827"/>
      <c r="AJ72" s="827"/>
      <c r="AK72" s="827"/>
      <c r="AL72" s="827"/>
      <c r="AM72" s="827"/>
      <c r="AN72" s="827"/>
      <c r="AO72" s="827"/>
      <c r="AP72" s="827"/>
      <c r="AQ72" s="827"/>
      <c r="AR72" s="827"/>
      <c r="AS72" s="827"/>
      <c r="AT72" s="827"/>
      <c r="AU72" s="827"/>
      <c r="AV72" s="827"/>
      <c r="AW72" s="827"/>
      <c r="AX72" s="827"/>
      <c r="AY72" s="827"/>
      <c r="AZ72" s="827"/>
      <c r="BA72" s="827"/>
      <c r="BB72" s="827"/>
      <c r="BC72" s="827"/>
      <c r="BD72" s="827"/>
      <c r="BE72" s="827"/>
      <c r="BF72" s="827"/>
      <c r="BG72" s="827"/>
      <c r="BH72" s="827"/>
      <c r="BI72" s="827"/>
      <c r="BJ72" s="827"/>
      <c r="BK72" s="827"/>
      <c r="BL72" s="827"/>
      <c r="BM72" s="827"/>
      <c r="BN72" s="827"/>
      <c r="BO72" s="827"/>
      <c r="BP72" s="827"/>
      <c r="BQ72" s="827"/>
      <c r="BR72" s="827"/>
      <c r="BS72" s="827"/>
      <c r="BT72" s="827"/>
      <c r="BU72" s="827"/>
      <c r="BV72" s="827"/>
      <c r="BW72" s="827"/>
      <c r="BX72" s="827"/>
      <c r="BY72" s="827"/>
      <c r="BZ72" s="827"/>
      <c r="CA72" s="827"/>
      <c r="CB72" s="827"/>
      <c r="CC72" s="827"/>
      <c r="CD72" s="827"/>
      <c r="CE72" s="827"/>
      <c r="CF72" s="827"/>
      <c r="CG72" s="827"/>
      <c r="CH72" s="827"/>
      <c r="CI72" s="827"/>
      <c r="CJ72" s="827"/>
      <c r="CK72" s="827"/>
      <c r="CL72" s="827"/>
      <c r="CM72" s="844"/>
      <c r="CN72" s="827"/>
      <c r="CO72" s="827"/>
      <c r="CP72" s="827"/>
      <c r="CQ72" s="844"/>
      <c r="CR72" s="827"/>
      <c r="CS72" s="827"/>
      <c r="CT72" s="827"/>
      <c r="CU72" s="844"/>
      <c r="CV72" s="827"/>
      <c r="CW72" s="827"/>
      <c r="CX72" s="827"/>
      <c r="CY72" s="844"/>
      <c r="CZ72" s="827"/>
      <c r="DA72" s="827"/>
      <c r="DB72" s="827"/>
      <c r="DC72" s="844"/>
      <c r="DD72" s="827"/>
      <c r="DE72" s="827"/>
      <c r="DF72" s="827"/>
      <c r="DG72" s="844"/>
      <c r="DH72" s="827"/>
      <c r="DI72" s="827"/>
      <c r="DJ72" s="827"/>
      <c r="DK72" s="844"/>
      <c r="DL72" s="827"/>
      <c r="DM72" s="827"/>
      <c r="DN72" s="827"/>
      <c r="DO72" s="844"/>
      <c r="DP72" s="827"/>
      <c r="DQ72" s="827"/>
      <c r="DR72" s="827"/>
      <c r="DS72" s="844"/>
      <c r="DT72" s="827"/>
      <c r="DU72" s="827"/>
      <c r="DV72" s="827"/>
      <c r="DW72" s="844"/>
      <c r="DX72" s="827"/>
      <c r="DY72" s="827"/>
      <c r="DZ72" s="827"/>
      <c r="EA72" s="828"/>
      <c r="EB72" s="828"/>
      <c r="EC72" s="827"/>
      <c r="ED72" s="827"/>
      <c r="EE72" s="858">
        <f t="shared" si="90"/>
        <v>0</v>
      </c>
      <c r="EF72" s="858">
        <f t="shared" si="91"/>
        <v>0</v>
      </c>
      <c r="EG72" s="858">
        <f t="shared" si="92"/>
        <v>0</v>
      </c>
      <c r="EH72" s="858">
        <f t="shared" si="92"/>
        <v>0</v>
      </c>
      <c r="EI72" s="725">
        <f t="shared" si="85"/>
        <v>0</v>
      </c>
      <c r="EK72" s="813"/>
    </row>
    <row r="73" spans="1:141" ht="38.25" customHeight="1" thickTop="1" thickBot="1" x14ac:dyDescent="0.3">
      <c r="A73" s="825" t="s">
        <v>1601</v>
      </c>
      <c r="B73" s="827">
        <v>0</v>
      </c>
      <c r="C73" s="827"/>
      <c r="D73" s="827"/>
      <c r="E73" s="827"/>
      <c r="F73" s="827"/>
      <c r="G73" s="827"/>
      <c r="H73" s="827"/>
      <c r="I73" s="827"/>
      <c r="J73" s="827"/>
      <c r="K73" s="827"/>
      <c r="L73" s="827"/>
      <c r="M73" s="827"/>
      <c r="N73" s="827"/>
      <c r="O73" s="828"/>
      <c r="P73" s="828"/>
      <c r="Q73" s="827"/>
      <c r="R73" s="828"/>
      <c r="S73" s="828"/>
      <c r="T73" s="828"/>
      <c r="U73" s="827"/>
      <c r="V73" s="827"/>
      <c r="W73" s="827"/>
      <c r="X73" s="827"/>
      <c r="Y73" s="827"/>
      <c r="Z73" s="827"/>
      <c r="AA73" s="827"/>
      <c r="AB73" s="827"/>
      <c r="AC73" s="827"/>
      <c r="AD73" s="827"/>
      <c r="AE73" s="827"/>
      <c r="AF73" s="827"/>
      <c r="AG73" s="827"/>
      <c r="AH73" s="827"/>
      <c r="AI73" s="827"/>
      <c r="AJ73" s="827"/>
      <c r="AK73" s="827"/>
      <c r="AL73" s="827"/>
      <c r="AM73" s="827"/>
      <c r="AN73" s="827"/>
      <c r="AO73" s="827"/>
      <c r="AP73" s="827"/>
      <c r="AQ73" s="827"/>
      <c r="AR73" s="827"/>
      <c r="AS73" s="827"/>
      <c r="AT73" s="827"/>
      <c r="AU73" s="827"/>
      <c r="AV73" s="827"/>
      <c r="AW73" s="827"/>
      <c r="AX73" s="827"/>
      <c r="AY73" s="827"/>
      <c r="AZ73" s="827"/>
      <c r="BA73" s="827"/>
      <c r="BB73" s="827"/>
      <c r="BC73" s="827"/>
      <c r="BD73" s="827"/>
      <c r="BE73" s="827"/>
      <c r="BF73" s="827"/>
      <c r="BG73" s="827"/>
      <c r="BH73" s="827"/>
      <c r="BI73" s="827"/>
      <c r="BJ73" s="827"/>
      <c r="BK73" s="827"/>
      <c r="BL73" s="827"/>
      <c r="BM73" s="827"/>
      <c r="BN73" s="827"/>
      <c r="BO73" s="827"/>
      <c r="BP73" s="827"/>
      <c r="BQ73" s="827"/>
      <c r="BR73" s="827"/>
      <c r="BS73" s="827"/>
      <c r="BT73" s="827"/>
      <c r="BU73" s="827"/>
      <c r="BV73" s="827"/>
      <c r="BW73" s="827"/>
      <c r="BX73" s="827"/>
      <c r="BY73" s="827"/>
      <c r="BZ73" s="827"/>
      <c r="CA73" s="827"/>
      <c r="CB73" s="827"/>
      <c r="CC73" s="827"/>
      <c r="CD73" s="827"/>
      <c r="CE73" s="827"/>
      <c r="CF73" s="827"/>
      <c r="CG73" s="827"/>
      <c r="CH73" s="827"/>
      <c r="CI73" s="827"/>
      <c r="CJ73" s="827"/>
      <c r="CK73" s="827"/>
      <c r="CL73" s="827"/>
      <c r="CM73" s="844"/>
      <c r="CN73" s="827"/>
      <c r="CO73" s="827"/>
      <c r="CP73" s="827"/>
      <c r="CQ73" s="844"/>
      <c r="CR73" s="827"/>
      <c r="CS73" s="827"/>
      <c r="CT73" s="827"/>
      <c r="CU73" s="844"/>
      <c r="CV73" s="827"/>
      <c r="CW73" s="827"/>
      <c r="CX73" s="827"/>
      <c r="CY73" s="844"/>
      <c r="CZ73" s="827"/>
      <c r="DA73" s="827"/>
      <c r="DB73" s="827"/>
      <c r="DC73" s="844"/>
      <c r="DD73" s="827"/>
      <c r="DE73" s="827"/>
      <c r="DF73" s="827"/>
      <c r="DG73" s="844"/>
      <c r="DH73" s="827"/>
      <c r="DI73" s="827"/>
      <c r="DJ73" s="827"/>
      <c r="DK73" s="844"/>
      <c r="DL73" s="827"/>
      <c r="DM73" s="827"/>
      <c r="DN73" s="827"/>
      <c r="DO73" s="844"/>
      <c r="DP73" s="827"/>
      <c r="DQ73" s="827"/>
      <c r="DR73" s="827"/>
      <c r="DS73" s="844"/>
      <c r="DT73" s="827"/>
      <c r="DU73" s="827"/>
      <c r="DV73" s="827"/>
      <c r="DW73" s="844"/>
      <c r="DX73" s="827"/>
      <c r="DY73" s="827"/>
      <c r="DZ73" s="827"/>
      <c r="EA73" s="828"/>
      <c r="EB73" s="828"/>
      <c r="EC73" s="827"/>
      <c r="ED73" s="827"/>
      <c r="EE73" s="858">
        <f t="shared" si="90"/>
        <v>0</v>
      </c>
      <c r="EF73" s="858">
        <f t="shared" si="91"/>
        <v>0</v>
      </c>
      <c r="EG73" s="858">
        <f t="shared" si="92"/>
        <v>0</v>
      </c>
      <c r="EH73" s="858">
        <f t="shared" si="92"/>
        <v>0</v>
      </c>
      <c r="EI73" s="725">
        <f t="shared" si="85"/>
        <v>0</v>
      </c>
      <c r="EK73" s="813"/>
    </row>
    <row r="74" spans="1:141" ht="27" thickTop="1" thickBot="1" x14ac:dyDescent="0.3">
      <c r="A74" s="822" t="s">
        <v>1602</v>
      </c>
      <c r="B74" s="823">
        <f>SUM(B75:B76)</f>
        <v>472708992</v>
      </c>
      <c r="C74" s="823">
        <f t="shared" ref="C74:CE74" si="93">SUM(C75:C76)</f>
        <v>0</v>
      </c>
      <c r="D74" s="823">
        <f t="shared" si="93"/>
        <v>0</v>
      </c>
      <c r="E74" s="823">
        <f t="shared" si="93"/>
        <v>0</v>
      </c>
      <c r="F74" s="823">
        <f t="shared" si="93"/>
        <v>0</v>
      </c>
      <c r="G74" s="823">
        <f t="shared" si="93"/>
        <v>0</v>
      </c>
      <c r="H74" s="823">
        <f t="shared" si="93"/>
        <v>0</v>
      </c>
      <c r="I74" s="823">
        <f t="shared" si="93"/>
        <v>0</v>
      </c>
      <c r="J74" s="823">
        <f t="shared" si="93"/>
        <v>0</v>
      </c>
      <c r="K74" s="823">
        <f>SUM(K75:K76)</f>
        <v>0</v>
      </c>
      <c r="L74" s="823">
        <f>SUM(L75:L76)</f>
        <v>0</v>
      </c>
      <c r="M74" s="823">
        <f>SUM(M75:M76)</f>
        <v>0</v>
      </c>
      <c r="N74" s="823">
        <f>SUM(N75:N76)</f>
        <v>0</v>
      </c>
      <c r="O74" s="823">
        <f t="shared" si="93"/>
        <v>283680</v>
      </c>
      <c r="P74" s="823">
        <f t="shared" si="93"/>
        <v>0</v>
      </c>
      <c r="Q74" s="823">
        <f t="shared" si="93"/>
        <v>0</v>
      </c>
      <c r="R74" s="823">
        <f t="shared" si="93"/>
        <v>0</v>
      </c>
      <c r="S74" s="823">
        <f t="shared" si="93"/>
        <v>0</v>
      </c>
      <c r="T74" s="823">
        <f t="shared" si="93"/>
        <v>0</v>
      </c>
      <c r="U74" s="823">
        <f t="shared" si="93"/>
        <v>0</v>
      </c>
      <c r="V74" s="823">
        <f t="shared" si="93"/>
        <v>0</v>
      </c>
      <c r="W74" s="823">
        <f t="shared" si="93"/>
        <v>0</v>
      </c>
      <c r="X74" s="823">
        <f t="shared" si="93"/>
        <v>0</v>
      </c>
      <c r="Y74" s="823">
        <f t="shared" si="93"/>
        <v>0</v>
      </c>
      <c r="Z74" s="823">
        <f t="shared" si="93"/>
        <v>0</v>
      </c>
      <c r="AA74" s="823">
        <f t="shared" si="93"/>
        <v>0</v>
      </c>
      <c r="AB74" s="823">
        <f t="shared" si="93"/>
        <v>0</v>
      </c>
      <c r="AC74" s="823">
        <f t="shared" si="93"/>
        <v>0</v>
      </c>
      <c r="AD74" s="823">
        <f t="shared" si="93"/>
        <v>0</v>
      </c>
      <c r="AE74" s="823">
        <f>SUM(AE75:AE76)</f>
        <v>0</v>
      </c>
      <c r="AF74" s="823">
        <f>SUM(AF75:AF76)</f>
        <v>0</v>
      </c>
      <c r="AG74" s="823">
        <f>SUM(AG75:AG76)</f>
        <v>0</v>
      </c>
      <c r="AH74" s="823">
        <f>SUM(AH75:AH76)</f>
        <v>0</v>
      </c>
      <c r="AI74" s="823">
        <f t="shared" si="93"/>
        <v>0</v>
      </c>
      <c r="AJ74" s="823">
        <f t="shared" si="93"/>
        <v>0</v>
      </c>
      <c r="AK74" s="823">
        <f t="shared" si="93"/>
        <v>0</v>
      </c>
      <c r="AL74" s="823">
        <f t="shared" si="93"/>
        <v>0</v>
      </c>
      <c r="AM74" s="823">
        <f t="shared" si="93"/>
        <v>0</v>
      </c>
      <c r="AN74" s="823">
        <f t="shared" si="93"/>
        <v>0</v>
      </c>
      <c r="AO74" s="823">
        <f t="shared" si="93"/>
        <v>0</v>
      </c>
      <c r="AP74" s="823">
        <f t="shared" si="93"/>
        <v>0</v>
      </c>
      <c r="AQ74" s="823">
        <f t="shared" si="93"/>
        <v>0</v>
      </c>
      <c r="AR74" s="823">
        <f t="shared" si="93"/>
        <v>0</v>
      </c>
      <c r="AS74" s="823">
        <f t="shared" si="93"/>
        <v>0</v>
      </c>
      <c r="AT74" s="823">
        <f t="shared" si="93"/>
        <v>0</v>
      </c>
      <c r="AU74" s="823">
        <f t="shared" si="93"/>
        <v>0</v>
      </c>
      <c r="AV74" s="823">
        <f t="shared" si="93"/>
        <v>0</v>
      </c>
      <c r="AW74" s="823">
        <f t="shared" si="93"/>
        <v>0</v>
      </c>
      <c r="AX74" s="823">
        <f t="shared" si="93"/>
        <v>0</v>
      </c>
      <c r="AY74" s="823">
        <f t="shared" si="93"/>
        <v>0</v>
      </c>
      <c r="AZ74" s="823">
        <f t="shared" si="93"/>
        <v>0</v>
      </c>
      <c r="BA74" s="823">
        <f t="shared" si="93"/>
        <v>0</v>
      </c>
      <c r="BB74" s="823">
        <f t="shared" si="93"/>
        <v>0</v>
      </c>
      <c r="BC74" s="823">
        <f t="shared" si="93"/>
        <v>0</v>
      </c>
      <c r="BD74" s="823">
        <f t="shared" si="93"/>
        <v>0</v>
      </c>
      <c r="BE74" s="823">
        <f t="shared" si="93"/>
        <v>0</v>
      </c>
      <c r="BF74" s="823">
        <f t="shared" si="93"/>
        <v>0</v>
      </c>
      <c r="BG74" s="823">
        <f t="shared" si="93"/>
        <v>0</v>
      </c>
      <c r="BH74" s="823">
        <f t="shared" si="93"/>
        <v>0</v>
      </c>
      <c r="BI74" s="823">
        <f t="shared" si="93"/>
        <v>0</v>
      </c>
      <c r="BJ74" s="823">
        <f t="shared" si="93"/>
        <v>0</v>
      </c>
      <c r="BK74" s="823">
        <f t="shared" si="93"/>
        <v>0</v>
      </c>
      <c r="BL74" s="823">
        <f t="shared" si="93"/>
        <v>0</v>
      </c>
      <c r="BM74" s="823">
        <f t="shared" si="93"/>
        <v>0</v>
      </c>
      <c r="BN74" s="823">
        <f t="shared" si="93"/>
        <v>0</v>
      </c>
      <c r="BO74" s="823">
        <f>SUM(BO75:BO76)</f>
        <v>18495872</v>
      </c>
      <c r="BP74" s="823">
        <f>SUM(BP75:BP76)</f>
        <v>0</v>
      </c>
      <c r="BQ74" s="823">
        <f>SUM(BQ75:BQ76)</f>
        <v>0</v>
      </c>
      <c r="BR74" s="823">
        <f>SUM(BR75:BR76)</f>
        <v>0</v>
      </c>
      <c r="BS74" s="823">
        <f t="shared" si="93"/>
        <v>13902435</v>
      </c>
      <c r="BT74" s="823">
        <f>SUM(BT75:BT76)</f>
        <v>13902435</v>
      </c>
      <c r="BU74" s="823">
        <f t="shared" si="93"/>
        <v>13902435</v>
      </c>
      <c r="BV74" s="823">
        <f t="shared" si="93"/>
        <v>13902435</v>
      </c>
      <c r="BW74" s="823">
        <f t="shared" si="93"/>
        <v>27005</v>
      </c>
      <c r="BX74" s="823">
        <f t="shared" si="93"/>
        <v>0</v>
      </c>
      <c r="BY74" s="823">
        <f t="shared" si="93"/>
        <v>0</v>
      </c>
      <c r="BZ74" s="823">
        <f t="shared" si="93"/>
        <v>0</v>
      </c>
      <c r="CA74" s="823">
        <f>SUM(CA75:CA76)</f>
        <v>0</v>
      </c>
      <c r="CB74" s="823">
        <f>SUM(CB75:CB76)</f>
        <v>0</v>
      </c>
      <c r="CC74" s="823">
        <f>SUM(CC75:CC76)</f>
        <v>0</v>
      </c>
      <c r="CD74" s="823">
        <f>SUM(CD75:CD76)</f>
        <v>0</v>
      </c>
      <c r="CE74" s="823">
        <f t="shared" si="93"/>
        <v>0</v>
      </c>
      <c r="CF74" s="823">
        <f t="shared" ref="CF74:ED74" si="94">SUM(CF75:CF76)</f>
        <v>0</v>
      </c>
      <c r="CG74" s="823">
        <f t="shared" si="94"/>
        <v>0</v>
      </c>
      <c r="CH74" s="823">
        <f t="shared" si="94"/>
        <v>0</v>
      </c>
      <c r="CI74" s="823">
        <f t="shared" si="94"/>
        <v>0</v>
      </c>
      <c r="CJ74" s="823">
        <f t="shared" si="94"/>
        <v>0</v>
      </c>
      <c r="CK74" s="823">
        <f t="shared" si="94"/>
        <v>0</v>
      </c>
      <c r="CL74" s="823">
        <f t="shared" si="94"/>
        <v>0</v>
      </c>
      <c r="CM74" s="823">
        <f t="shared" si="94"/>
        <v>440000000</v>
      </c>
      <c r="CN74" s="823">
        <f t="shared" si="94"/>
        <v>306097565</v>
      </c>
      <c r="CO74" s="823">
        <f t="shared" si="94"/>
        <v>194597565</v>
      </c>
      <c r="CP74" s="823">
        <f t="shared" si="94"/>
        <v>194597565</v>
      </c>
      <c r="CQ74" s="823">
        <f t="shared" si="94"/>
        <v>0</v>
      </c>
      <c r="CR74" s="823">
        <f t="shared" si="94"/>
        <v>0</v>
      </c>
      <c r="CS74" s="823">
        <f t="shared" si="94"/>
        <v>0</v>
      </c>
      <c r="CT74" s="823">
        <f t="shared" si="94"/>
        <v>0</v>
      </c>
      <c r="CU74" s="823">
        <f t="shared" si="94"/>
        <v>0</v>
      </c>
      <c r="CV74" s="823">
        <f t="shared" si="94"/>
        <v>0</v>
      </c>
      <c r="CW74" s="823">
        <f t="shared" si="94"/>
        <v>0</v>
      </c>
      <c r="CX74" s="823">
        <f t="shared" si="94"/>
        <v>0</v>
      </c>
      <c r="CY74" s="823">
        <f t="shared" si="94"/>
        <v>0</v>
      </c>
      <c r="CZ74" s="823">
        <f t="shared" si="94"/>
        <v>0</v>
      </c>
      <c r="DA74" s="823">
        <f t="shared" si="94"/>
        <v>0</v>
      </c>
      <c r="DB74" s="823">
        <f t="shared" si="94"/>
        <v>0</v>
      </c>
      <c r="DC74" s="823">
        <f t="shared" si="94"/>
        <v>0</v>
      </c>
      <c r="DD74" s="823">
        <f t="shared" si="94"/>
        <v>0</v>
      </c>
      <c r="DE74" s="823">
        <f t="shared" si="94"/>
        <v>0</v>
      </c>
      <c r="DF74" s="823">
        <f t="shared" si="94"/>
        <v>0</v>
      </c>
      <c r="DG74" s="823">
        <f t="shared" si="94"/>
        <v>0</v>
      </c>
      <c r="DH74" s="823">
        <f t="shared" si="94"/>
        <v>0</v>
      </c>
      <c r="DI74" s="823">
        <f t="shared" si="94"/>
        <v>0</v>
      </c>
      <c r="DJ74" s="823">
        <f t="shared" si="94"/>
        <v>0</v>
      </c>
      <c r="DK74" s="823">
        <f t="shared" si="94"/>
        <v>0</v>
      </c>
      <c r="DL74" s="823">
        <f t="shared" si="94"/>
        <v>0</v>
      </c>
      <c r="DM74" s="823">
        <f t="shared" si="94"/>
        <v>0</v>
      </c>
      <c r="DN74" s="823">
        <f t="shared" si="94"/>
        <v>0</v>
      </c>
      <c r="DO74" s="823">
        <f t="shared" si="94"/>
        <v>0</v>
      </c>
      <c r="DP74" s="823">
        <f t="shared" si="94"/>
        <v>0</v>
      </c>
      <c r="DQ74" s="823">
        <f t="shared" si="94"/>
        <v>0</v>
      </c>
      <c r="DR74" s="823">
        <f t="shared" si="94"/>
        <v>0</v>
      </c>
      <c r="DS74" s="823">
        <f t="shared" si="94"/>
        <v>0</v>
      </c>
      <c r="DT74" s="823">
        <f t="shared" si="94"/>
        <v>0</v>
      </c>
      <c r="DU74" s="823">
        <f t="shared" si="94"/>
        <v>0</v>
      </c>
      <c r="DV74" s="823">
        <f t="shared" si="94"/>
        <v>0</v>
      </c>
      <c r="DW74" s="823">
        <f t="shared" si="94"/>
        <v>0</v>
      </c>
      <c r="DX74" s="823">
        <f t="shared" si="94"/>
        <v>0</v>
      </c>
      <c r="DY74" s="823">
        <f t="shared" si="94"/>
        <v>0</v>
      </c>
      <c r="DZ74" s="823">
        <f t="shared" si="94"/>
        <v>0</v>
      </c>
      <c r="EA74" s="823">
        <f t="shared" si="94"/>
        <v>0</v>
      </c>
      <c r="EB74" s="823">
        <f t="shared" si="94"/>
        <v>0</v>
      </c>
      <c r="EC74" s="823">
        <f t="shared" si="94"/>
        <v>0</v>
      </c>
      <c r="ED74" s="823">
        <f t="shared" si="94"/>
        <v>0</v>
      </c>
      <c r="EE74" s="857">
        <f>+C74+G74+K74+O74+S74+W74+AA74+AE74+AI74+AM74+AQ74+AU74+AY74+BC74+BG74+BK74+BO74+BS74+BW74+CA74+CE74+CI74+CM74+CQ74+CU74+CY74+DC74+DG74+DK74+DO74+EA74+DS74+DW74</f>
        <v>472708992</v>
      </c>
      <c r="EF74" s="857">
        <f>+D74+H74+L74+P74+T74+X74+AB74+AF74+AJ74+AN74+AR74+AV74+AZ74+BD74+BH74+BL74+BP74+BT74+BX74+CB74+CF74+CJ74+CN74+CR74+CV74+CZ74+DD74+DH74+DL74+DP74+EB74+DS74+DT74+DX74</f>
        <v>320000000</v>
      </c>
      <c r="EG74" s="857">
        <f>+E74+I74+M74+Q74+U74+Y74+AC74+AG74+AK74+AO74+AS74+AW74+BA74+BE74+BI74+BM74+BQ74+BU74+BY74+CC74+CG74+CK74+CO74+CS74+CW74+DA74+DE74+DI74+DM74+DQ74+EC74+DU74+DY74</f>
        <v>208500000</v>
      </c>
      <c r="EH74" s="857">
        <f>+F74+J74+N74+R74+V74+Z74+AD74+AH74+AL74+AP74+AT74+AX74+BB74+BF74+BJ74+BN74+BR74+BV74+BZ74+CD74+CH74+CL74+CP74+CT74+CX74+DB74+DF74+DJ74+DN74+DR74+ED74+DV74+DZ74</f>
        <v>208500000</v>
      </c>
      <c r="EI74" s="824">
        <f t="shared" si="85"/>
        <v>0</v>
      </c>
      <c r="EK74" s="813"/>
    </row>
    <row r="75" spans="1:141" ht="21.75" customHeight="1" thickTop="1" thickBot="1" x14ac:dyDescent="0.3">
      <c r="A75" s="825" t="s">
        <v>1603</v>
      </c>
      <c r="B75" s="826">
        <f>+'Anexo 5.2. informe Gastos'!I171</f>
        <v>152708992</v>
      </c>
      <c r="C75" s="827"/>
      <c r="D75" s="827"/>
      <c r="E75" s="827"/>
      <c r="F75" s="827"/>
      <c r="G75" s="827"/>
      <c r="H75" s="827"/>
      <c r="I75" s="827"/>
      <c r="J75" s="827"/>
      <c r="K75" s="827"/>
      <c r="L75" s="827"/>
      <c r="M75" s="827"/>
      <c r="N75" s="827"/>
      <c r="O75" s="828">
        <v>283680</v>
      </c>
      <c r="P75" s="828"/>
      <c r="Q75" s="827"/>
      <c r="R75" s="828"/>
      <c r="S75" s="828"/>
      <c r="T75" s="828"/>
      <c r="U75" s="827"/>
      <c r="V75" s="827"/>
      <c r="W75" s="827"/>
      <c r="X75" s="827"/>
      <c r="Y75" s="827"/>
      <c r="Z75" s="827"/>
      <c r="AA75" s="827"/>
      <c r="AB75" s="827"/>
      <c r="AC75" s="827"/>
      <c r="AD75" s="827"/>
      <c r="AE75" s="827"/>
      <c r="AF75" s="827"/>
      <c r="AG75" s="827"/>
      <c r="AH75" s="827"/>
      <c r="AI75" s="827"/>
      <c r="AJ75" s="827"/>
      <c r="AK75" s="827"/>
      <c r="AL75" s="827"/>
      <c r="AM75" s="827"/>
      <c r="AN75" s="827"/>
      <c r="AO75" s="827"/>
      <c r="AP75" s="827"/>
      <c r="AQ75" s="827"/>
      <c r="AR75" s="827"/>
      <c r="AS75" s="827"/>
      <c r="AT75" s="827"/>
      <c r="AU75" s="827"/>
      <c r="AV75" s="827"/>
      <c r="AW75" s="827"/>
      <c r="AX75" s="827"/>
      <c r="AY75" s="827"/>
      <c r="AZ75" s="827"/>
      <c r="BA75" s="827"/>
      <c r="BB75" s="827"/>
      <c r="BC75" s="827"/>
      <c r="BD75" s="827"/>
      <c r="BE75" s="827"/>
      <c r="BF75" s="827"/>
      <c r="BG75" s="827"/>
      <c r="BH75" s="827"/>
      <c r="BI75" s="827"/>
      <c r="BJ75" s="827"/>
      <c r="BK75" s="827"/>
      <c r="BL75" s="827"/>
      <c r="BM75" s="827"/>
      <c r="BN75" s="827"/>
      <c r="BO75" s="845">
        <v>18495872</v>
      </c>
      <c r="BP75" s="827"/>
      <c r="BQ75" s="827"/>
      <c r="BR75" s="827"/>
      <c r="BS75" s="845">
        <v>13902435</v>
      </c>
      <c r="BT75" s="827">
        <v>13902435</v>
      </c>
      <c r="BU75" s="827">
        <v>13902435</v>
      </c>
      <c r="BV75" s="827">
        <v>13902435</v>
      </c>
      <c r="BW75" s="845">
        <v>27005</v>
      </c>
      <c r="BX75" s="827"/>
      <c r="BY75" s="827"/>
      <c r="BZ75" s="827"/>
      <c r="CA75" s="827"/>
      <c r="CB75" s="827"/>
      <c r="CC75" s="827"/>
      <c r="CD75" s="827"/>
      <c r="CE75" s="827"/>
      <c r="CF75" s="827"/>
      <c r="CG75" s="827"/>
      <c r="CH75" s="827"/>
      <c r="CI75" s="827"/>
      <c r="CJ75" s="827"/>
      <c r="CK75" s="827"/>
      <c r="CL75" s="827"/>
      <c r="CM75" s="834">
        <v>120000000</v>
      </c>
      <c r="CN75" s="836"/>
      <c r="CO75" s="836"/>
      <c r="CP75" s="836"/>
      <c r="CQ75" s="829"/>
      <c r="CR75" s="836"/>
      <c r="CS75" s="836"/>
      <c r="CT75" s="836"/>
      <c r="CU75" s="829"/>
      <c r="CV75" s="836"/>
      <c r="CW75" s="836"/>
      <c r="CX75" s="836"/>
      <c r="CY75" s="829"/>
      <c r="CZ75" s="836"/>
      <c r="DA75" s="836"/>
      <c r="DB75" s="836"/>
      <c r="DC75" s="829"/>
      <c r="DD75" s="836"/>
      <c r="DE75" s="836"/>
      <c r="DF75" s="836"/>
      <c r="DG75" s="829"/>
      <c r="DH75" s="836"/>
      <c r="DI75" s="836"/>
      <c r="DJ75" s="836"/>
      <c r="DK75" s="829"/>
      <c r="DL75" s="836"/>
      <c r="DM75" s="836"/>
      <c r="DN75" s="836"/>
      <c r="DO75" s="836"/>
      <c r="DP75" s="836">
        <v>0</v>
      </c>
      <c r="DQ75" s="836">
        <v>0</v>
      </c>
      <c r="DR75" s="836">
        <v>0</v>
      </c>
      <c r="DS75" s="836">
        <v>0</v>
      </c>
      <c r="DT75" s="836">
        <v>0</v>
      </c>
      <c r="DU75" s="836">
        <v>0</v>
      </c>
      <c r="DV75" s="836">
        <v>0</v>
      </c>
      <c r="DW75" s="836">
        <v>0</v>
      </c>
      <c r="DX75" s="836">
        <v>0</v>
      </c>
      <c r="DY75" s="836">
        <v>0</v>
      </c>
      <c r="DZ75" s="836">
        <v>0</v>
      </c>
      <c r="EA75" s="828"/>
      <c r="EB75" s="828"/>
      <c r="EC75" s="827"/>
      <c r="ED75" s="827"/>
      <c r="EE75" s="858">
        <f t="shared" ref="EE75:EE76" si="95">+C75+G75+K75+O75+S75+W75+AA75+AE75+AI75+AM75+AQ75+AU75+AY75+BC75+BG75+BK75+BO75+BS75+BW75+CA75+CE75+CI75+CM75+CQ75+CU75+CY75+DC75+DG75+DK75+DO75+EA75+DS75+DW75</f>
        <v>152708992</v>
      </c>
      <c r="EF75" s="858">
        <f t="shared" ref="EF75:EF76" si="96">+D75+H75+L75+P75+T75+X75+AB75+AF75+AJ75+AN75+AR75+AV75+AZ75+BD75+BH75+BL75+BP75+BT75+BX75+CB75+CF75+CJ75+CN75+CR75+CV75+CZ75+DD75+DH75+DL75+DP75+EB75+DS75+DT75+DX75</f>
        <v>13902435</v>
      </c>
      <c r="EG75" s="858">
        <f t="shared" ref="EG75:EH76" si="97">+E75+I75+M75+Q75+U75+Y75+AC75+AG75+AK75+AO75+AS75+AW75+BA75+BE75+BI75+BM75+BQ75+BU75+BY75+CC75+CG75+CK75+CO75+CS75+CW75+DA75+DE75+DI75+DM75+DQ75+EC75+DU75+DY75</f>
        <v>13902435</v>
      </c>
      <c r="EH75" s="858">
        <f t="shared" si="97"/>
        <v>13902435</v>
      </c>
      <c r="EI75" s="725">
        <f t="shared" si="85"/>
        <v>0</v>
      </c>
      <c r="EJ75" s="838"/>
      <c r="EK75" s="813"/>
    </row>
    <row r="76" spans="1:141" ht="21.75" customHeight="1" thickTop="1" thickBot="1" x14ac:dyDescent="0.3">
      <c r="A76" s="825" t="s">
        <v>1604</v>
      </c>
      <c r="B76" s="826">
        <f>+'Anexo 5.2. informe Gastos'!I172</f>
        <v>320000000</v>
      </c>
      <c r="C76" s="827"/>
      <c r="D76" s="827"/>
      <c r="E76" s="827"/>
      <c r="F76" s="827"/>
      <c r="G76" s="827"/>
      <c r="H76" s="827"/>
      <c r="I76" s="827"/>
      <c r="J76" s="827"/>
      <c r="K76" s="827"/>
      <c r="L76" s="827"/>
      <c r="M76" s="827"/>
      <c r="N76" s="827"/>
      <c r="O76" s="828"/>
      <c r="P76" s="828"/>
      <c r="Q76" s="827"/>
      <c r="R76" s="828"/>
      <c r="S76" s="828"/>
      <c r="T76" s="828"/>
      <c r="U76" s="827"/>
      <c r="V76" s="827"/>
      <c r="W76" s="827"/>
      <c r="X76" s="827"/>
      <c r="Y76" s="827"/>
      <c r="Z76" s="827"/>
      <c r="AA76" s="827"/>
      <c r="AB76" s="827"/>
      <c r="AC76" s="827"/>
      <c r="AD76" s="827"/>
      <c r="AE76" s="827"/>
      <c r="AF76" s="827"/>
      <c r="AG76" s="827"/>
      <c r="AH76" s="827"/>
      <c r="AI76" s="827"/>
      <c r="AJ76" s="827"/>
      <c r="AK76" s="827"/>
      <c r="AL76" s="827"/>
      <c r="AM76" s="827"/>
      <c r="AN76" s="827"/>
      <c r="AO76" s="827"/>
      <c r="AP76" s="827"/>
      <c r="AQ76" s="827"/>
      <c r="AR76" s="827"/>
      <c r="AS76" s="827"/>
      <c r="AT76" s="827"/>
      <c r="AU76" s="827"/>
      <c r="AV76" s="827"/>
      <c r="AW76" s="827"/>
      <c r="AX76" s="827"/>
      <c r="AY76" s="827"/>
      <c r="AZ76" s="827"/>
      <c r="BA76" s="827"/>
      <c r="BB76" s="827"/>
      <c r="BC76" s="827"/>
      <c r="BD76" s="827"/>
      <c r="BE76" s="827"/>
      <c r="BF76" s="827"/>
      <c r="BG76" s="827"/>
      <c r="BH76" s="827"/>
      <c r="BI76" s="827"/>
      <c r="BJ76" s="827"/>
      <c r="BK76" s="827"/>
      <c r="BL76" s="827"/>
      <c r="BM76" s="827"/>
      <c r="BN76" s="827"/>
      <c r="BO76" s="846"/>
      <c r="BP76" s="827"/>
      <c r="BQ76" s="827"/>
      <c r="BR76" s="827"/>
      <c r="BS76" s="846"/>
      <c r="BT76" s="827"/>
      <c r="BU76" s="827"/>
      <c r="BV76" s="827"/>
      <c r="BW76" s="846"/>
      <c r="BX76" s="827"/>
      <c r="BY76" s="827"/>
      <c r="BZ76" s="827"/>
      <c r="CA76" s="827"/>
      <c r="CB76" s="827"/>
      <c r="CC76" s="827"/>
      <c r="CD76" s="827"/>
      <c r="CE76" s="827"/>
      <c r="CF76" s="827"/>
      <c r="CG76" s="827"/>
      <c r="CH76" s="827"/>
      <c r="CI76" s="827"/>
      <c r="CJ76" s="827"/>
      <c r="CK76" s="827"/>
      <c r="CL76" s="827"/>
      <c r="CM76" s="834">
        <v>320000000</v>
      </c>
      <c r="CN76" s="834">
        <v>306097565</v>
      </c>
      <c r="CO76" s="836">
        <v>194597565</v>
      </c>
      <c r="CP76" s="836">
        <v>194597565</v>
      </c>
      <c r="CQ76" s="829"/>
      <c r="CR76" s="836"/>
      <c r="CS76" s="836"/>
      <c r="CT76" s="836"/>
      <c r="CU76" s="829"/>
      <c r="CV76" s="836"/>
      <c r="CW76" s="836"/>
      <c r="CX76" s="836"/>
      <c r="CY76" s="829"/>
      <c r="CZ76" s="836"/>
      <c r="DA76" s="836"/>
      <c r="DB76" s="836"/>
      <c r="DC76" s="829"/>
      <c r="DD76" s="836"/>
      <c r="DE76" s="836"/>
      <c r="DF76" s="836"/>
      <c r="DG76" s="829"/>
      <c r="DH76" s="836"/>
      <c r="DI76" s="836"/>
      <c r="DJ76" s="836"/>
      <c r="DK76" s="829"/>
      <c r="DL76" s="836"/>
      <c r="DM76" s="836"/>
      <c r="DN76" s="836"/>
      <c r="DO76" s="836"/>
      <c r="DP76" s="836">
        <v>0</v>
      </c>
      <c r="DQ76" s="836">
        <v>0</v>
      </c>
      <c r="DR76" s="836">
        <v>0</v>
      </c>
      <c r="DS76" s="836">
        <v>0</v>
      </c>
      <c r="DT76" s="836">
        <v>0</v>
      </c>
      <c r="DU76" s="836">
        <v>0</v>
      </c>
      <c r="DV76" s="836">
        <v>0</v>
      </c>
      <c r="DW76" s="836">
        <v>0</v>
      </c>
      <c r="DX76" s="836">
        <v>0</v>
      </c>
      <c r="DY76" s="836">
        <v>0</v>
      </c>
      <c r="DZ76" s="836">
        <v>0</v>
      </c>
      <c r="EA76" s="828"/>
      <c r="EB76" s="828"/>
      <c r="EC76" s="827"/>
      <c r="ED76" s="827"/>
      <c r="EE76" s="858">
        <f t="shared" si="95"/>
        <v>320000000</v>
      </c>
      <c r="EF76" s="858">
        <f t="shared" si="96"/>
        <v>306097565</v>
      </c>
      <c r="EG76" s="858">
        <f t="shared" si="97"/>
        <v>194597565</v>
      </c>
      <c r="EH76" s="858">
        <f t="shared" si="97"/>
        <v>194597565</v>
      </c>
      <c r="EI76" s="725">
        <f t="shared" si="85"/>
        <v>0</v>
      </c>
      <c r="EJ76" s="838"/>
      <c r="EK76" s="813"/>
    </row>
    <row r="77" spans="1:141" ht="28.5" thickTop="1" thickBot="1" x14ac:dyDescent="0.3">
      <c r="A77" s="818" t="s">
        <v>1605</v>
      </c>
      <c r="B77" s="819">
        <f t="shared" ref="B77:BM77" si="98">+B78+B80</f>
        <v>100000000</v>
      </c>
      <c r="C77" s="819">
        <f t="shared" si="98"/>
        <v>0</v>
      </c>
      <c r="D77" s="819">
        <f t="shared" si="98"/>
        <v>0</v>
      </c>
      <c r="E77" s="819">
        <f t="shared" si="98"/>
        <v>0</v>
      </c>
      <c r="F77" s="819">
        <f t="shared" si="98"/>
        <v>0</v>
      </c>
      <c r="G77" s="819">
        <f t="shared" si="98"/>
        <v>0</v>
      </c>
      <c r="H77" s="819">
        <f t="shared" si="98"/>
        <v>0</v>
      </c>
      <c r="I77" s="819">
        <f t="shared" si="98"/>
        <v>0</v>
      </c>
      <c r="J77" s="819">
        <f t="shared" si="98"/>
        <v>0</v>
      </c>
      <c r="K77" s="819">
        <f t="shared" si="98"/>
        <v>0</v>
      </c>
      <c r="L77" s="819">
        <f t="shared" si="98"/>
        <v>0</v>
      </c>
      <c r="M77" s="819">
        <f t="shared" si="98"/>
        <v>0</v>
      </c>
      <c r="N77" s="819">
        <f t="shared" si="98"/>
        <v>0</v>
      </c>
      <c r="O77" s="819">
        <f t="shared" si="98"/>
        <v>0</v>
      </c>
      <c r="P77" s="819">
        <f t="shared" si="98"/>
        <v>0</v>
      </c>
      <c r="Q77" s="819">
        <f t="shared" si="98"/>
        <v>0</v>
      </c>
      <c r="R77" s="819">
        <f t="shared" si="98"/>
        <v>0</v>
      </c>
      <c r="S77" s="819">
        <f t="shared" si="98"/>
        <v>0</v>
      </c>
      <c r="T77" s="819">
        <f t="shared" si="98"/>
        <v>0</v>
      </c>
      <c r="U77" s="819">
        <f t="shared" si="98"/>
        <v>0</v>
      </c>
      <c r="V77" s="819">
        <f t="shared" si="98"/>
        <v>0</v>
      </c>
      <c r="W77" s="819">
        <f t="shared" si="98"/>
        <v>0</v>
      </c>
      <c r="X77" s="819">
        <f t="shared" si="98"/>
        <v>0</v>
      </c>
      <c r="Y77" s="819">
        <f t="shared" si="98"/>
        <v>0</v>
      </c>
      <c r="Z77" s="819">
        <f t="shared" si="98"/>
        <v>0</v>
      </c>
      <c r="AA77" s="819">
        <f t="shared" si="98"/>
        <v>0</v>
      </c>
      <c r="AB77" s="819">
        <f t="shared" si="98"/>
        <v>0</v>
      </c>
      <c r="AC77" s="819">
        <f t="shared" si="98"/>
        <v>0</v>
      </c>
      <c r="AD77" s="819">
        <f t="shared" si="98"/>
        <v>0</v>
      </c>
      <c r="AE77" s="819">
        <f t="shared" si="98"/>
        <v>0</v>
      </c>
      <c r="AF77" s="819">
        <f t="shared" si="98"/>
        <v>0</v>
      </c>
      <c r="AG77" s="819">
        <f t="shared" si="98"/>
        <v>0</v>
      </c>
      <c r="AH77" s="819">
        <f t="shared" si="98"/>
        <v>0</v>
      </c>
      <c r="AI77" s="819">
        <f t="shared" si="98"/>
        <v>0</v>
      </c>
      <c r="AJ77" s="819">
        <f t="shared" si="98"/>
        <v>0</v>
      </c>
      <c r="AK77" s="819">
        <f t="shared" si="98"/>
        <v>0</v>
      </c>
      <c r="AL77" s="819">
        <f t="shared" si="98"/>
        <v>0</v>
      </c>
      <c r="AM77" s="819">
        <f t="shared" si="98"/>
        <v>0</v>
      </c>
      <c r="AN77" s="819">
        <f t="shared" si="98"/>
        <v>0</v>
      </c>
      <c r="AO77" s="819">
        <f t="shared" si="98"/>
        <v>0</v>
      </c>
      <c r="AP77" s="819">
        <f t="shared" si="98"/>
        <v>0</v>
      </c>
      <c r="AQ77" s="819">
        <f t="shared" si="98"/>
        <v>0</v>
      </c>
      <c r="AR77" s="819">
        <f t="shared" si="98"/>
        <v>0</v>
      </c>
      <c r="AS77" s="819">
        <f t="shared" si="98"/>
        <v>0</v>
      </c>
      <c r="AT77" s="819">
        <f t="shared" si="98"/>
        <v>0</v>
      </c>
      <c r="AU77" s="819">
        <f t="shared" si="98"/>
        <v>0</v>
      </c>
      <c r="AV77" s="819">
        <f t="shared" si="98"/>
        <v>0</v>
      </c>
      <c r="AW77" s="819">
        <f t="shared" si="98"/>
        <v>0</v>
      </c>
      <c r="AX77" s="819">
        <f t="shared" si="98"/>
        <v>0</v>
      </c>
      <c r="AY77" s="819">
        <f t="shared" si="98"/>
        <v>0</v>
      </c>
      <c r="AZ77" s="819">
        <f t="shared" si="98"/>
        <v>0</v>
      </c>
      <c r="BA77" s="819">
        <f t="shared" si="98"/>
        <v>0</v>
      </c>
      <c r="BB77" s="819">
        <f t="shared" si="98"/>
        <v>0</v>
      </c>
      <c r="BC77" s="819">
        <f t="shared" si="98"/>
        <v>0</v>
      </c>
      <c r="BD77" s="819">
        <f t="shared" si="98"/>
        <v>0</v>
      </c>
      <c r="BE77" s="819">
        <f t="shared" si="98"/>
        <v>0</v>
      </c>
      <c r="BF77" s="819">
        <f t="shared" si="98"/>
        <v>0</v>
      </c>
      <c r="BG77" s="819">
        <f t="shared" si="98"/>
        <v>0</v>
      </c>
      <c r="BH77" s="819">
        <f t="shared" si="98"/>
        <v>0</v>
      </c>
      <c r="BI77" s="819">
        <f t="shared" si="98"/>
        <v>0</v>
      </c>
      <c r="BJ77" s="819">
        <f t="shared" si="98"/>
        <v>0</v>
      </c>
      <c r="BK77" s="819">
        <f t="shared" si="98"/>
        <v>0</v>
      </c>
      <c r="BL77" s="819">
        <f t="shared" si="98"/>
        <v>0</v>
      </c>
      <c r="BM77" s="819">
        <f t="shared" si="98"/>
        <v>0</v>
      </c>
      <c r="BN77" s="819">
        <f t="shared" ref="BN77:ED77" si="99">+BN78+BN80</f>
        <v>0</v>
      </c>
      <c r="BO77" s="819">
        <f t="shared" si="99"/>
        <v>0</v>
      </c>
      <c r="BP77" s="819">
        <f t="shared" si="99"/>
        <v>0</v>
      </c>
      <c r="BQ77" s="819">
        <f t="shared" si="99"/>
        <v>0</v>
      </c>
      <c r="BR77" s="819">
        <f t="shared" si="99"/>
        <v>0</v>
      </c>
      <c r="BS77" s="819">
        <f t="shared" si="99"/>
        <v>0</v>
      </c>
      <c r="BT77" s="819">
        <f t="shared" si="99"/>
        <v>0</v>
      </c>
      <c r="BU77" s="819">
        <f t="shared" si="99"/>
        <v>0</v>
      </c>
      <c r="BV77" s="819">
        <f t="shared" si="99"/>
        <v>0</v>
      </c>
      <c r="BW77" s="819">
        <f t="shared" si="99"/>
        <v>0</v>
      </c>
      <c r="BX77" s="819">
        <f t="shared" si="99"/>
        <v>0</v>
      </c>
      <c r="BY77" s="819">
        <f t="shared" si="99"/>
        <v>0</v>
      </c>
      <c r="BZ77" s="819">
        <f t="shared" si="99"/>
        <v>0</v>
      </c>
      <c r="CA77" s="819">
        <f t="shared" si="99"/>
        <v>0</v>
      </c>
      <c r="CB77" s="819">
        <f t="shared" si="99"/>
        <v>0</v>
      </c>
      <c r="CC77" s="819">
        <f t="shared" si="99"/>
        <v>0</v>
      </c>
      <c r="CD77" s="819">
        <f t="shared" si="99"/>
        <v>0</v>
      </c>
      <c r="CE77" s="819">
        <f t="shared" si="99"/>
        <v>0</v>
      </c>
      <c r="CF77" s="819">
        <f t="shared" si="99"/>
        <v>0</v>
      </c>
      <c r="CG77" s="819">
        <f t="shared" si="99"/>
        <v>0</v>
      </c>
      <c r="CH77" s="819">
        <f t="shared" si="99"/>
        <v>0</v>
      </c>
      <c r="CI77" s="819">
        <f t="shared" si="99"/>
        <v>0</v>
      </c>
      <c r="CJ77" s="819">
        <f t="shared" si="99"/>
        <v>0</v>
      </c>
      <c r="CK77" s="819">
        <f t="shared" si="99"/>
        <v>0</v>
      </c>
      <c r="CL77" s="819">
        <f t="shared" si="99"/>
        <v>0</v>
      </c>
      <c r="CM77" s="819">
        <f t="shared" si="99"/>
        <v>100000000</v>
      </c>
      <c r="CN77" s="819">
        <f t="shared" si="99"/>
        <v>100000000</v>
      </c>
      <c r="CO77" s="819">
        <f t="shared" si="99"/>
        <v>50000000</v>
      </c>
      <c r="CP77" s="819">
        <f t="shared" si="99"/>
        <v>50000000</v>
      </c>
      <c r="CQ77" s="819">
        <f t="shared" si="99"/>
        <v>0</v>
      </c>
      <c r="CR77" s="819">
        <f t="shared" si="99"/>
        <v>0</v>
      </c>
      <c r="CS77" s="819">
        <f t="shared" si="99"/>
        <v>0</v>
      </c>
      <c r="CT77" s="819">
        <f t="shared" si="99"/>
        <v>0</v>
      </c>
      <c r="CU77" s="819">
        <f t="shared" si="99"/>
        <v>0</v>
      </c>
      <c r="CV77" s="819">
        <f t="shared" si="99"/>
        <v>0</v>
      </c>
      <c r="CW77" s="819">
        <f t="shared" si="99"/>
        <v>0</v>
      </c>
      <c r="CX77" s="819">
        <f t="shared" si="99"/>
        <v>0</v>
      </c>
      <c r="CY77" s="819">
        <f t="shared" si="99"/>
        <v>0</v>
      </c>
      <c r="CZ77" s="819">
        <f t="shared" si="99"/>
        <v>0</v>
      </c>
      <c r="DA77" s="819">
        <f t="shared" si="99"/>
        <v>0</v>
      </c>
      <c r="DB77" s="819">
        <f t="shared" si="99"/>
        <v>0</v>
      </c>
      <c r="DC77" s="819">
        <f t="shared" si="99"/>
        <v>0</v>
      </c>
      <c r="DD77" s="819">
        <f t="shared" si="99"/>
        <v>0</v>
      </c>
      <c r="DE77" s="819">
        <f t="shared" si="99"/>
        <v>0</v>
      </c>
      <c r="DF77" s="819">
        <f t="shared" si="99"/>
        <v>0</v>
      </c>
      <c r="DG77" s="819">
        <f t="shared" si="99"/>
        <v>0</v>
      </c>
      <c r="DH77" s="819">
        <f t="shared" si="99"/>
        <v>0</v>
      </c>
      <c r="DI77" s="819">
        <f t="shared" si="99"/>
        <v>0</v>
      </c>
      <c r="DJ77" s="819">
        <f t="shared" si="99"/>
        <v>0</v>
      </c>
      <c r="DK77" s="819">
        <f t="shared" si="99"/>
        <v>0</v>
      </c>
      <c r="DL77" s="819">
        <f t="shared" si="99"/>
        <v>0</v>
      </c>
      <c r="DM77" s="819">
        <f t="shared" si="99"/>
        <v>0</v>
      </c>
      <c r="DN77" s="819">
        <f t="shared" si="99"/>
        <v>0</v>
      </c>
      <c r="DO77" s="819">
        <f t="shared" si="99"/>
        <v>0</v>
      </c>
      <c r="DP77" s="819">
        <f t="shared" si="99"/>
        <v>0</v>
      </c>
      <c r="DQ77" s="819">
        <f t="shared" si="99"/>
        <v>0</v>
      </c>
      <c r="DR77" s="819">
        <f t="shared" si="99"/>
        <v>0</v>
      </c>
      <c r="DS77" s="819">
        <f t="shared" si="99"/>
        <v>0</v>
      </c>
      <c r="DT77" s="819">
        <f t="shared" si="99"/>
        <v>0</v>
      </c>
      <c r="DU77" s="819">
        <f t="shared" si="99"/>
        <v>0</v>
      </c>
      <c r="DV77" s="819">
        <f t="shared" si="99"/>
        <v>0</v>
      </c>
      <c r="DW77" s="819">
        <f t="shared" si="99"/>
        <v>0</v>
      </c>
      <c r="DX77" s="819">
        <f t="shared" si="99"/>
        <v>0</v>
      </c>
      <c r="DY77" s="819">
        <f t="shared" si="99"/>
        <v>0</v>
      </c>
      <c r="DZ77" s="819">
        <f t="shared" si="99"/>
        <v>0</v>
      </c>
      <c r="EA77" s="819">
        <f t="shared" si="99"/>
        <v>0</v>
      </c>
      <c r="EB77" s="819">
        <f t="shared" si="99"/>
        <v>0</v>
      </c>
      <c r="EC77" s="819">
        <f t="shared" si="99"/>
        <v>0</v>
      </c>
      <c r="ED77" s="819">
        <f t="shared" si="99"/>
        <v>0</v>
      </c>
      <c r="EE77" s="856">
        <f>+C77+G77+K77+O77+S77+W77+AA77+AE77+AI77+AM77+AQ77+AU77+AY77+BC77+BG77+BK77+BO77+BS77+BW77+CA77+CE77+CI77+CM77+CQ77+CU77+CY77+DC77+DG77+DK77+DO77+EA77+DS77+DW77</f>
        <v>100000000</v>
      </c>
      <c r="EF77" s="856">
        <f>+D77+H77+L77+P77+T77+X77+AB77+AF77+AJ77+AN77+AR77+AV77+AZ77+BD77+BH77+BL77+BP77+BT77+BX77+CB77+CF77+CJ77+CN77+CR77+CV77+CZ77+DD77+DH77+DL77+DP77+EB77+DT77+DX77</f>
        <v>100000000</v>
      </c>
      <c r="EG77" s="856">
        <f>+E77+I77+M77+Q77+U77+Y77+AC77+AG77+AK77+AO77+AS77+AW77+BA77+BE77+BI77+BM77+BQ77+BU77+BY77+CC77+CG77+CK77+CO77+CS77+CW77+DA77+DE77+DI77+DM77+DQ77+EC77+DU77+DY77</f>
        <v>50000000</v>
      </c>
      <c r="EH77" s="856">
        <f>+F77+J77+N77+R77+V77+Z77+AD77+AH77+AL77+AP77+AT77+AX77+BB77+BF77+BJ77+BN77+BR77+BV77+BZ77+CD77+CH77+CL77+CP77+CT77+CX77+DB77+DF77+DJ77+DN77+DR77+ED77+DV77+DZ77</f>
        <v>50000000</v>
      </c>
      <c r="EI77" s="821">
        <f t="shared" si="85"/>
        <v>0</v>
      </c>
      <c r="EK77" s="813"/>
    </row>
    <row r="78" spans="1:141" ht="27" thickTop="1" thickBot="1" x14ac:dyDescent="0.3">
      <c r="A78" s="822" t="s">
        <v>1606</v>
      </c>
      <c r="B78" s="823">
        <f t="shared" ref="B78:BM78" si="100">SUM(B79:B79)</f>
        <v>100000000</v>
      </c>
      <c r="C78" s="823">
        <f t="shared" si="100"/>
        <v>0</v>
      </c>
      <c r="D78" s="823">
        <f t="shared" si="100"/>
        <v>0</v>
      </c>
      <c r="E78" s="823">
        <f t="shared" si="100"/>
        <v>0</v>
      </c>
      <c r="F78" s="823">
        <f t="shared" si="100"/>
        <v>0</v>
      </c>
      <c r="G78" s="823">
        <f t="shared" si="100"/>
        <v>0</v>
      </c>
      <c r="H78" s="823">
        <f t="shared" si="100"/>
        <v>0</v>
      </c>
      <c r="I78" s="823">
        <f t="shared" si="100"/>
        <v>0</v>
      </c>
      <c r="J78" s="823">
        <f t="shared" si="100"/>
        <v>0</v>
      </c>
      <c r="K78" s="823">
        <f t="shared" si="100"/>
        <v>0</v>
      </c>
      <c r="L78" s="823">
        <f t="shared" si="100"/>
        <v>0</v>
      </c>
      <c r="M78" s="823">
        <f t="shared" si="100"/>
        <v>0</v>
      </c>
      <c r="N78" s="823">
        <f t="shared" si="100"/>
        <v>0</v>
      </c>
      <c r="O78" s="823">
        <f t="shared" si="100"/>
        <v>0</v>
      </c>
      <c r="P78" s="823">
        <f t="shared" si="100"/>
        <v>0</v>
      </c>
      <c r="Q78" s="823">
        <f t="shared" si="100"/>
        <v>0</v>
      </c>
      <c r="R78" s="823">
        <f t="shared" si="100"/>
        <v>0</v>
      </c>
      <c r="S78" s="823">
        <f t="shared" si="100"/>
        <v>0</v>
      </c>
      <c r="T78" s="823">
        <f t="shared" si="100"/>
        <v>0</v>
      </c>
      <c r="U78" s="823">
        <f t="shared" si="100"/>
        <v>0</v>
      </c>
      <c r="V78" s="823">
        <f t="shared" si="100"/>
        <v>0</v>
      </c>
      <c r="W78" s="823">
        <f t="shared" si="100"/>
        <v>0</v>
      </c>
      <c r="X78" s="823">
        <f t="shared" si="100"/>
        <v>0</v>
      </c>
      <c r="Y78" s="823">
        <f t="shared" si="100"/>
        <v>0</v>
      </c>
      <c r="Z78" s="823">
        <f t="shared" si="100"/>
        <v>0</v>
      </c>
      <c r="AA78" s="823">
        <f t="shared" si="100"/>
        <v>0</v>
      </c>
      <c r="AB78" s="823">
        <f t="shared" si="100"/>
        <v>0</v>
      </c>
      <c r="AC78" s="823">
        <f t="shared" si="100"/>
        <v>0</v>
      </c>
      <c r="AD78" s="823">
        <f t="shared" si="100"/>
        <v>0</v>
      </c>
      <c r="AE78" s="823">
        <f t="shared" si="100"/>
        <v>0</v>
      </c>
      <c r="AF78" s="823">
        <f t="shared" si="100"/>
        <v>0</v>
      </c>
      <c r="AG78" s="823">
        <f t="shared" si="100"/>
        <v>0</v>
      </c>
      <c r="AH78" s="823">
        <f t="shared" si="100"/>
        <v>0</v>
      </c>
      <c r="AI78" s="823">
        <f t="shared" si="100"/>
        <v>0</v>
      </c>
      <c r="AJ78" s="823">
        <f t="shared" si="100"/>
        <v>0</v>
      </c>
      <c r="AK78" s="823">
        <f t="shared" si="100"/>
        <v>0</v>
      </c>
      <c r="AL78" s="823">
        <f t="shared" si="100"/>
        <v>0</v>
      </c>
      <c r="AM78" s="823">
        <f t="shared" si="100"/>
        <v>0</v>
      </c>
      <c r="AN78" s="823">
        <f t="shared" si="100"/>
        <v>0</v>
      </c>
      <c r="AO78" s="823">
        <f t="shared" si="100"/>
        <v>0</v>
      </c>
      <c r="AP78" s="823">
        <f t="shared" si="100"/>
        <v>0</v>
      </c>
      <c r="AQ78" s="823">
        <f t="shared" si="100"/>
        <v>0</v>
      </c>
      <c r="AR78" s="823">
        <f t="shared" si="100"/>
        <v>0</v>
      </c>
      <c r="AS78" s="823">
        <f t="shared" si="100"/>
        <v>0</v>
      </c>
      <c r="AT78" s="823">
        <f t="shared" si="100"/>
        <v>0</v>
      </c>
      <c r="AU78" s="823">
        <f t="shared" si="100"/>
        <v>0</v>
      </c>
      <c r="AV78" s="823">
        <f t="shared" si="100"/>
        <v>0</v>
      </c>
      <c r="AW78" s="823">
        <f t="shared" si="100"/>
        <v>0</v>
      </c>
      <c r="AX78" s="823">
        <f t="shared" si="100"/>
        <v>0</v>
      </c>
      <c r="AY78" s="823">
        <f t="shared" si="100"/>
        <v>0</v>
      </c>
      <c r="AZ78" s="823">
        <f t="shared" si="100"/>
        <v>0</v>
      </c>
      <c r="BA78" s="823">
        <f t="shared" si="100"/>
        <v>0</v>
      </c>
      <c r="BB78" s="823">
        <f t="shared" si="100"/>
        <v>0</v>
      </c>
      <c r="BC78" s="823">
        <f t="shared" si="100"/>
        <v>0</v>
      </c>
      <c r="BD78" s="823">
        <f t="shared" si="100"/>
        <v>0</v>
      </c>
      <c r="BE78" s="823">
        <f t="shared" si="100"/>
        <v>0</v>
      </c>
      <c r="BF78" s="823">
        <f t="shared" si="100"/>
        <v>0</v>
      </c>
      <c r="BG78" s="823">
        <f t="shared" si="100"/>
        <v>0</v>
      </c>
      <c r="BH78" s="823">
        <f t="shared" si="100"/>
        <v>0</v>
      </c>
      <c r="BI78" s="823">
        <f t="shared" si="100"/>
        <v>0</v>
      </c>
      <c r="BJ78" s="823">
        <f t="shared" si="100"/>
        <v>0</v>
      </c>
      <c r="BK78" s="823">
        <f t="shared" si="100"/>
        <v>0</v>
      </c>
      <c r="BL78" s="823">
        <f t="shared" si="100"/>
        <v>0</v>
      </c>
      <c r="BM78" s="823">
        <f t="shared" si="100"/>
        <v>0</v>
      </c>
      <c r="BN78" s="823">
        <f t="shared" ref="BN78:ED78" si="101">SUM(BN79:BN79)</f>
        <v>0</v>
      </c>
      <c r="BO78" s="823">
        <f t="shared" si="101"/>
        <v>0</v>
      </c>
      <c r="BP78" s="823">
        <f t="shared" si="101"/>
        <v>0</v>
      </c>
      <c r="BQ78" s="823">
        <f t="shared" si="101"/>
        <v>0</v>
      </c>
      <c r="BR78" s="823">
        <f t="shared" si="101"/>
        <v>0</v>
      </c>
      <c r="BS78" s="823">
        <f t="shared" si="101"/>
        <v>0</v>
      </c>
      <c r="BT78" s="823">
        <f t="shared" si="101"/>
        <v>0</v>
      </c>
      <c r="BU78" s="823">
        <f t="shared" si="101"/>
        <v>0</v>
      </c>
      <c r="BV78" s="823">
        <f t="shared" si="101"/>
        <v>0</v>
      </c>
      <c r="BW78" s="823">
        <f t="shared" si="101"/>
        <v>0</v>
      </c>
      <c r="BX78" s="823">
        <f t="shared" si="101"/>
        <v>0</v>
      </c>
      <c r="BY78" s="823">
        <f t="shared" si="101"/>
        <v>0</v>
      </c>
      <c r="BZ78" s="823">
        <f t="shared" si="101"/>
        <v>0</v>
      </c>
      <c r="CA78" s="823">
        <f t="shared" si="101"/>
        <v>0</v>
      </c>
      <c r="CB78" s="823">
        <f t="shared" si="101"/>
        <v>0</v>
      </c>
      <c r="CC78" s="823">
        <f t="shared" si="101"/>
        <v>0</v>
      </c>
      <c r="CD78" s="823">
        <f t="shared" si="101"/>
        <v>0</v>
      </c>
      <c r="CE78" s="823">
        <f t="shared" si="101"/>
        <v>0</v>
      </c>
      <c r="CF78" s="823">
        <f t="shared" si="101"/>
        <v>0</v>
      </c>
      <c r="CG78" s="823">
        <f t="shared" si="101"/>
        <v>0</v>
      </c>
      <c r="CH78" s="823">
        <f t="shared" si="101"/>
        <v>0</v>
      </c>
      <c r="CI78" s="823">
        <f t="shared" si="101"/>
        <v>0</v>
      </c>
      <c r="CJ78" s="823">
        <f t="shared" si="101"/>
        <v>0</v>
      </c>
      <c r="CK78" s="823">
        <f t="shared" si="101"/>
        <v>0</v>
      </c>
      <c r="CL78" s="823">
        <f t="shared" si="101"/>
        <v>0</v>
      </c>
      <c r="CM78" s="823">
        <f t="shared" si="101"/>
        <v>100000000</v>
      </c>
      <c r="CN78" s="823">
        <f t="shared" si="101"/>
        <v>100000000</v>
      </c>
      <c r="CO78" s="823">
        <f t="shared" si="101"/>
        <v>50000000</v>
      </c>
      <c r="CP78" s="823">
        <f t="shared" si="101"/>
        <v>50000000</v>
      </c>
      <c r="CQ78" s="823">
        <f t="shared" si="101"/>
        <v>0</v>
      </c>
      <c r="CR78" s="823">
        <f t="shared" si="101"/>
        <v>0</v>
      </c>
      <c r="CS78" s="823">
        <f t="shared" si="101"/>
        <v>0</v>
      </c>
      <c r="CT78" s="823">
        <f t="shared" si="101"/>
        <v>0</v>
      </c>
      <c r="CU78" s="823">
        <f t="shared" si="101"/>
        <v>0</v>
      </c>
      <c r="CV78" s="823">
        <f t="shared" si="101"/>
        <v>0</v>
      </c>
      <c r="CW78" s="823">
        <f t="shared" si="101"/>
        <v>0</v>
      </c>
      <c r="CX78" s="823">
        <f t="shared" si="101"/>
        <v>0</v>
      </c>
      <c r="CY78" s="823">
        <f t="shared" si="101"/>
        <v>0</v>
      </c>
      <c r="CZ78" s="823">
        <f t="shared" si="101"/>
        <v>0</v>
      </c>
      <c r="DA78" s="823">
        <f t="shared" si="101"/>
        <v>0</v>
      </c>
      <c r="DB78" s="823">
        <f t="shared" si="101"/>
        <v>0</v>
      </c>
      <c r="DC78" s="823">
        <f t="shared" si="101"/>
        <v>0</v>
      </c>
      <c r="DD78" s="823">
        <f t="shared" si="101"/>
        <v>0</v>
      </c>
      <c r="DE78" s="823">
        <f t="shared" si="101"/>
        <v>0</v>
      </c>
      <c r="DF78" s="823">
        <f t="shared" si="101"/>
        <v>0</v>
      </c>
      <c r="DG78" s="823">
        <f t="shared" si="101"/>
        <v>0</v>
      </c>
      <c r="DH78" s="823">
        <f t="shared" si="101"/>
        <v>0</v>
      </c>
      <c r="DI78" s="823">
        <f t="shared" si="101"/>
        <v>0</v>
      </c>
      <c r="DJ78" s="823">
        <f t="shared" si="101"/>
        <v>0</v>
      </c>
      <c r="DK78" s="823">
        <f t="shared" si="101"/>
        <v>0</v>
      </c>
      <c r="DL78" s="823">
        <f t="shared" si="101"/>
        <v>0</v>
      </c>
      <c r="DM78" s="823">
        <f t="shared" si="101"/>
        <v>0</v>
      </c>
      <c r="DN78" s="823">
        <f t="shared" si="101"/>
        <v>0</v>
      </c>
      <c r="DO78" s="823">
        <f t="shared" si="101"/>
        <v>0</v>
      </c>
      <c r="DP78" s="823">
        <f t="shared" si="101"/>
        <v>0</v>
      </c>
      <c r="DQ78" s="823">
        <f t="shared" si="101"/>
        <v>0</v>
      </c>
      <c r="DR78" s="823">
        <f t="shared" si="101"/>
        <v>0</v>
      </c>
      <c r="DS78" s="823">
        <f t="shared" si="101"/>
        <v>0</v>
      </c>
      <c r="DT78" s="823">
        <f t="shared" si="101"/>
        <v>0</v>
      </c>
      <c r="DU78" s="823">
        <f t="shared" si="101"/>
        <v>0</v>
      </c>
      <c r="DV78" s="823">
        <f t="shared" si="101"/>
        <v>0</v>
      </c>
      <c r="DW78" s="823">
        <f t="shared" si="101"/>
        <v>0</v>
      </c>
      <c r="DX78" s="823">
        <f t="shared" si="101"/>
        <v>0</v>
      </c>
      <c r="DY78" s="823">
        <f t="shared" si="101"/>
        <v>0</v>
      </c>
      <c r="DZ78" s="823">
        <f t="shared" si="101"/>
        <v>0</v>
      </c>
      <c r="EA78" s="823">
        <f t="shared" si="101"/>
        <v>0</v>
      </c>
      <c r="EB78" s="823">
        <f t="shared" si="101"/>
        <v>0</v>
      </c>
      <c r="EC78" s="823">
        <f t="shared" si="101"/>
        <v>0</v>
      </c>
      <c r="ED78" s="823">
        <f t="shared" si="101"/>
        <v>0</v>
      </c>
      <c r="EE78" s="857">
        <f>+C78+G78+K78+O78+S78+W78+AA78+AE78+AI78+AM78+AQ78+AU78+AY78+BC78+BG78+BK78+BO78+BS78+BW78+CA78+CE78+CI78+CM78+CQ78+CU78+CY78+DC78+DG78+DK78+DO78+EA78+DS78+DW78</f>
        <v>100000000</v>
      </c>
      <c r="EF78" s="857">
        <f>+D78+H78+L78+P78+T78+X78+AB78+AF78+AJ78+AN78+AR78+AV78+AZ78+BD78+BH78+BL78+BP78+BT78+BX78+CB78+CF78+CJ78+CN78+CR78+CV78+CZ78+DD78+DH78+DL78+DP78+EB78+DS78+DT78+DX78</f>
        <v>100000000</v>
      </c>
      <c r="EG78" s="857">
        <f>+E78+I78+M78+Q78+U78+Y78+AC78+AG78+AK78+AO78+AS78+AW78+BA78+BE78+BI78+BM78+BQ78+BU78+BY78+CC78+CG78+CK78+CO78+CS78+CW78+DA78+DE78+DI78+DM78+DQ78+EC78+DU78+DY78</f>
        <v>50000000</v>
      </c>
      <c r="EH78" s="857">
        <f>+F78+J78+N78+R78+V78+Z78+AD78+AH78+AL78+AP78+AT78+AX78+BB78+BF78+BJ78+BN78+BR78+BV78+BZ78+CD78+CH78+CL78+CP78+CT78+CX78+DB78+DF78+DJ78+DN78+DR78+ED78+DV78+DZ78</f>
        <v>50000000</v>
      </c>
      <c r="EI78" s="824">
        <f t="shared" si="85"/>
        <v>0</v>
      </c>
      <c r="EK78" s="813"/>
    </row>
    <row r="79" spans="1:141" ht="27" thickTop="1" thickBot="1" x14ac:dyDescent="0.3">
      <c r="A79" s="825" t="s">
        <v>1607</v>
      </c>
      <c r="B79" s="826">
        <f>+'Anexo 5.2. informe Gastos'!I177</f>
        <v>100000000</v>
      </c>
      <c r="C79" s="827"/>
      <c r="D79" s="827"/>
      <c r="E79" s="827"/>
      <c r="F79" s="827"/>
      <c r="G79" s="827"/>
      <c r="H79" s="827"/>
      <c r="I79" s="827"/>
      <c r="J79" s="827"/>
      <c r="K79" s="827"/>
      <c r="L79" s="827"/>
      <c r="M79" s="827"/>
      <c r="N79" s="827"/>
      <c r="O79" s="828"/>
      <c r="P79" s="828"/>
      <c r="Q79" s="827"/>
      <c r="R79" s="828"/>
      <c r="S79" s="828"/>
      <c r="T79" s="828"/>
      <c r="U79" s="827"/>
      <c r="V79" s="827"/>
      <c r="W79" s="827"/>
      <c r="X79" s="827"/>
      <c r="Y79" s="827"/>
      <c r="Z79" s="827"/>
      <c r="AA79" s="827"/>
      <c r="AB79" s="827"/>
      <c r="AC79" s="827"/>
      <c r="AD79" s="827"/>
      <c r="AE79" s="827"/>
      <c r="AF79" s="827"/>
      <c r="AG79" s="827"/>
      <c r="AH79" s="827"/>
      <c r="AI79" s="827"/>
      <c r="AJ79" s="827"/>
      <c r="AK79" s="827"/>
      <c r="AL79" s="827"/>
      <c r="AM79" s="827"/>
      <c r="AN79" s="827"/>
      <c r="AO79" s="827"/>
      <c r="AP79" s="827"/>
      <c r="AQ79" s="827"/>
      <c r="AR79" s="827"/>
      <c r="AS79" s="827"/>
      <c r="AT79" s="827"/>
      <c r="AU79" s="827"/>
      <c r="AV79" s="827"/>
      <c r="AW79" s="827"/>
      <c r="AX79" s="827"/>
      <c r="AY79" s="827"/>
      <c r="AZ79" s="827"/>
      <c r="BA79" s="827"/>
      <c r="BB79" s="827"/>
      <c r="BC79" s="827"/>
      <c r="BD79" s="827"/>
      <c r="BE79" s="827"/>
      <c r="BF79" s="827"/>
      <c r="BG79" s="827"/>
      <c r="BH79" s="827"/>
      <c r="BI79" s="827"/>
      <c r="BJ79" s="827"/>
      <c r="BK79" s="827"/>
      <c r="BL79" s="827"/>
      <c r="BM79" s="827"/>
      <c r="BN79" s="827"/>
      <c r="BO79" s="827"/>
      <c r="BP79" s="827"/>
      <c r="BQ79" s="827"/>
      <c r="BR79" s="827"/>
      <c r="BS79" s="827"/>
      <c r="BT79" s="827"/>
      <c r="BU79" s="827"/>
      <c r="BV79" s="827"/>
      <c r="BW79" s="827"/>
      <c r="BX79" s="827"/>
      <c r="BY79" s="827"/>
      <c r="BZ79" s="827"/>
      <c r="CA79" s="827"/>
      <c r="CB79" s="827"/>
      <c r="CC79" s="827"/>
      <c r="CD79" s="827"/>
      <c r="CE79" s="827"/>
      <c r="CF79" s="827"/>
      <c r="CG79" s="827"/>
      <c r="CH79" s="827"/>
      <c r="CI79" s="827"/>
      <c r="CJ79" s="827"/>
      <c r="CK79" s="827"/>
      <c r="CL79" s="827"/>
      <c r="CM79" s="834">
        <v>100000000</v>
      </c>
      <c r="CN79" s="836">
        <v>100000000</v>
      </c>
      <c r="CO79" s="836">
        <v>50000000</v>
      </c>
      <c r="CP79" s="836">
        <v>50000000</v>
      </c>
      <c r="CQ79" s="829"/>
      <c r="CR79" s="836"/>
      <c r="CS79" s="836"/>
      <c r="CT79" s="836"/>
      <c r="CU79" s="829"/>
      <c r="CV79" s="836"/>
      <c r="CW79" s="836"/>
      <c r="CX79" s="836"/>
      <c r="CY79" s="829"/>
      <c r="CZ79" s="836"/>
      <c r="DA79" s="836"/>
      <c r="DB79" s="836"/>
      <c r="DC79" s="829"/>
      <c r="DD79" s="836"/>
      <c r="DE79" s="836"/>
      <c r="DF79" s="836"/>
      <c r="DG79" s="829"/>
      <c r="DH79" s="836"/>
      <c r="DI79" s="836"/>
      <c r="DJ79" s="836"/>
      <c r="DK79" s="829"/>
      <c r="DL79" s="836"/>
      <c r="DM79" s="836"/>
      <c r="DN79" s="836"/>
      <c r="DO79" s="836"/>
      <c r="DP79" s="836">
        <v>0</v>
      </c>
      <c r="DQ79" s="836">
        <v>0</v>
      </c>
      <c r="DR79" s="836">
        <v>0</v>
      </c>
      <c r="DS79" s="836">
        <v>0</v>
      </c>
      <c r="DT79" s="836">
        <v>0</v>
      </c>
      <c r="DU79" s="836">
        <v>0</v>
      </c>
      <c r="DV79" s="836">
        <v>0</v>
      </c>
      <c r="DW79" s="836">
        <v>0</v>
      </c>
      <c r="DX79" s="836">
        <v>0</v>
      </c>
      <c r="DY79" s="836">
        <v>0</v>
      </c>
      <c r="DZ79" s="836">
        <v>0</v>
      </c>
      <c r="EA79" s="828"/>
      <c r="EB79" s="828"/>
      <c r="EC79" s="827"/>
      <c r="ED79" s="827"/>
      <c r="EE79" s="858">
        <f t="shared" ref="EE79" si="102">+C79+G79+K79+O79+S79+W79+AA79+AE79+AI79+AM79+AQ79+AU79+AY79+BC79+BG79+BK79+BO79+BS79+BW79+CA79+CE79+CI79+CM79+CQ79+CU79+CY79+DC79+DG79+DK79+DO79+EA79+DS79+DW79</f>
        <v>100000000</v>
      </c>
      <c r="EF79" s="858">
        <f t="shared" ref="EF79" si="103">+D79+H79+L79+P79+T79+X79+AB79+AF79+AJ79+AN79+AR79+AV79+AZ79+BD79+BH79+BL79+BP79+BT79+BX79+CB79+CF79+CJ79+CN79+CR79+CV79+CZ79+DD79+DH79+DL79+DP79+EB79+DS79+DT79+DX79</f>
        <v>100000000</v>
      </c>
      <c r="EG79" s="858">
        <f t="shared" ref="EG79:EH79" si="104">+E79+I79+M79+Q79+U79+Y79+AC79+AG79+AK79+AO79+AS79+AW79+BA79+BE79+BI79+BM79+BQ79+BU79+BY79+CC79+CG79+CK79+CO79+CS79+CW79+DA79+DE79+DI79+DM79+DQ79+EC79+DU79+DY79</f>
        <v>50000000</v>
      </c>
      <c r="EH79" s="858">
        <f t="shared" si="104"/>
        <v>50000000</v>
      </c>
      <c r="EI79" s="725">
        <f t="shared" si="85"/>
        <v>0</v>
      </c>
      <c r="EJ79" s="838"/>
      <c r="EK79" s="813"/>
    </row>
    <row r="80" spans="1:141" ht="27" thickTop="1" thickBot="1" x14ac:dyDescent="0.3">
      <c r="A80" s="822" t="s">
        <v>1609</v>
      </c>
      <c r="B80" s="823">
        <f>+B81</f>
        <v>0</v>
      </c>
      <c r="C80" s="823">
        <f t="shared" ref="C80:CE80" si="105">+C81</f>
        <v>0</v>
      </c>
      <c r="D80" s="823">
        <f t="shared" si="105"/>
        <v>0</v>
      </c>
      <c r="E80" s="823">
        <f t="shared" si="105"/>
        <v>0</v>
      </c>
      <c r="F80" s="823">
        <f t="shared" si="105"/>
        <v>0</v>
      </c>
      <c r="G80" s="823">
        <f t="shared" si="105"/>
        <v>0</v>
      </c>
      <c r="H80" s="823">
        <f t="shared" si="105"/>
        <v>0</v>
      </c>
      <c r="I80" s="823">
        <f t="shared" si="105"/>
        <v>0</v>
      </c>
      <c r="J80" s="823">
        <f t="shared" si="105"/>
        <v>0</v>
      </c>
      <c r="K80" s="823">
        <f t="shared" si="105"/>
        <v>0</v>
      </c>
      <c r="L80" s="823">
        <f t="shared" si="105"/>
        <v>0</v>
      </c>
      <c r="M80" s="823">
        <f t="shared" si="105"/>
        <v>0</v>
      </c>
      <c r="N80" s="823">
        <f t="shared" si="105"/>
        <v>0</v>
      </c>
      <c r="O80" s="823">
        <f t="shared" si="105"/>
        <v>0</v>
      </c>
      <c r="P80" s="823">
        <f t="shared" si="105"/>
        <v>0</v>
      </c>
      <c r="Q80" s="823">
        <f t="shared" si="105"/>
        <v>0</v>
      </c>
      <c r="R80" s="823">
        <f t="shared" si="105"/>
        <v>0</v>
      </c>
      <c r="S80" s="823">
        <f t="shared" si="105"/>
        <v>0</v>
      </c>
      <c r="T80" s="823">
        <f t="shared" si="105"/>
        <v>0</v>
      </c>
      <c r="U80" s="823">
        <f t="shared" si="105"/>
        <v>0</v>
      </c>
      <c r="V80" s="823">
        <f t="shared" si="105"/>
        <v>0</v>
      </c>
      <c r="W80" s="823">
        <f t="shared" si="105"/>
        <v>0</v>
      </c>
      <c r="X80" s="823">
        <f t="shared" si="105"/>
        <v>0</v>
      </c>
      <c r="Y80" s="823">
        <f t="shared" si="105"/>
        <v>0</v>
      </c>
      <c r="Z80" s="823">
        <f t="shared" si="105"/>
        <v>0</v>
      </c>
      <c r="AA80" s="823">
        <f t="shared" si="105"/>
        <v>0</v>
      </c>
      <c r="AB80" s="823">
        <f t="shared" si="105"/>
        <v>0</v>
      </c>
      <c r="AC80" s="823">
        <f t="shared" si="105"/>
        <v>0</v>
      </c>
      <c r="AD80" s="823">
        <f t="shared" si="105"/>
        <v>0</v>
      </c>
      <c r="AE80" s="823">
        <f t="shared" si="105"/>
        <v>0</v>
      </c>
      <c r="AF80" s="823">
        <f t="shared" si="105"/>
        <v>0</v>
      </c>
      <c r="AG80" s="823">
        <f t="shared" si="105"/>
        <v>0</v>
      </c>
      <c r="AH80" s="823">
        <f t="shared" si="105"/>
        <v>0</v>
      </c>
      <c r="AI80" s="823">
        <f t="shared" si="105"/>
        <v>0</v>
      </c>
      <c r="AJ80" s="823">
        <f t="shared" si="105"/>
        <v>0</v>
      </c>
      <c r="AK80" s="823">
        <f t="shared" si="105"/>
        <v>0</v>
      </c>
      <c r="AL80" s="823">
        <f t="shared" si="105"/>
        <v>0</v>
      </c>
      <c r="AM80" s="823">
        <f t="shared" si="105"/>
        <v>0</v>
      </c>
      <c r="AN80" s="823">
        <f t="shared" si="105"/>
        <v>0</v>
      </c>
      <c r="AO80" s="823">
        <f t="shared" si="105"/>
        <v>0</v>
      </c>
      <c r="AP80" s="823">
        <f t="shared" si="105"/>
        <v>0</v>
      </c>
      <c r="AQ80" s="823">
        <f t="shared" si="105"/>
        <v>0</v>
      </c>
      <c r="AR80" s="823">
        <f t="shared" si="105"/>
        <v>0</v>
      </c>
      <c r="AS80" s="823">
        <f t="shared" si="105"/>
        <v>0</v>
      </c>
      <c r="AT80" s="823">
        <f t="shared" si="105"/>
        <v>0</v>
      </c>
      <c r="AU80" s="823">
        <f t="shared" si="105"/>
        <v>0</v>
      </c>
      <c r="AV80" s="823">
        <f t="shared" si="105"/>
        <v>0</v>
      </c>
      <c r="AW80" s="823">
        <f t="shared" si="105"/>
        <v>0</v>
      </c>
      <c r="AX80" s="823">
        <f t="shared" si="105"/>
        <v>0</v>
      </c>
      <c r="AY80" s="823">
        <f t="shared" si="105"/>
        <v>0</v>
      </c>
      <c r="AZ80" s="823">
        <f t="shared" si="105"/>
        <v>0</v>
      </c>
      <c r="BA80" s="823">
        <f t="shared" si="105"/>
        <v>0</v>
      </c>
      <c r="BB80" s="823">
        <f t="shared" si="105"/>
        <v>0</v>
      </c>
      <c r="BC80" s="823">
        <f t="shared" si="105"/>
        <v>0</v>
      </c>
      <c r="BD80" s="823">
        <f t="shared" si="105"/>
        <v>0</v>
      </c>
      <c r="BE80" s="823">
        <f t="shared" si="105"/>
        <v>0</v>
      </c>
      <c r="BF80" s="823">
        <f t="shared" si="105"/>
        <v>0</v>
      </c>
      <c r="BG80" s="823">
        <f t="shared" si="105"/>
        <v>0</v>
      </c>
      <c r="BH80" s="823">
        <f t="shared" si="105"/>
        <v>0</v>
      </c>
      <c r="BI80" s="823">
        <f t="shared" si="105"/>
        <v>0</v>
      </c>
      <c r="BJ80" s="823">
        <f t="shared" si="105"/>
        <v>0</v>
      </c>
      <c r="BK80" s="823">
        <f t="shared" si="105"/>
        <v>0</v>
      </c>
      <c r="BL80" s="823">
        <f t="shared" si="105"/>
        <v>0</v>
      </c>
      <c r="BM80" s="823">
        <f t="shared" si="105"/>
        <v>0</v>
      </c>
      <c r="BN80" s="823">
        <f t="shared" si="105"/>
        <v>0</v>
      </c>
      <c r="BO80" s="823">
        <f t="shared" si="105"/>
        <v>0</v>
      </c>
      <c r="BP80" s="823">
        <f t="shared" si="105"/>
        <v>0</v>
      </c>
      <c r="BQ80" s="823">
        <f t="shared" si="105"/>
        <v>0</v>
      </c>
      <c r="BR80" s="823">
        <f t="shared" si="105"/>
        <v>0</v>
      </c>
      <c r="BS80" s="823">
        <f t="shared" si="105"/>
        <v>0</v>
      </c>
      <c r="BT80" s="823">
        <f t="shared" si="105"/>
        <v>0</v>
      </c>
      <c r="BU80" s="823">
        <f t="shared" si="105"/>
        <v>0</v>
      </c>
      <c r="BV80" s="823">
        <f t="shared" si="105"/>
        <v>0</v>
      </c>
      <c r="BW80" s="823">
        <f t="shared" si="105"/>
        <v>0</v>
      </c>
      <c r="BX80" s="823">
        <f t="shared" si="105"/>
        <v>0</v>
      </c>
      <c r="BY80" s="823">
        <f t="shared" si="105"/>
        <v>0</v>
      </c>
      <c r="BZ80" s="823">
        <f t="shared" si="105"/>
        <v>0</v>
      </c>
      <c r="CA80" s="823">
        <f t="shared" si="105"/>
        <v>0</v>
      </c>
      <c r="CB80" s="823">
        <f t="shared" si="105"/>
        <v>0</v>
      </c>
      <c r="CC80" s="823">
        <f t="shared" si="105"/>
        <v>0</v>
      </c>
      <c r="CD80" s="823">
        <f t="shared" si="105"/>
        <v>0</v>
      </c>
      <c r="CE80" s="823">
        <f t="shared" si="105"/>
        <v>0</v>
      </c>
      <c r="CF80" s="823">
        <f t="shared" ref="CF80:CL80" si="106">+CF81</f>
        <v>0</v>
      </c>
      <c r="CG80" s="823">
        <f t="shared" si="106"/>
        <v>0</v>
      </c>
      <c r="CH80" s="823">
        <f t="shared" si="106"/>
        <v>0</v>
      </c>
      <c r="CI80" s="823">
        <f t="shared" si="106"/>
        <v>0</v>
      </c>
      <c r="CJ80" s="823">
        <f t="shared" si="106"/>
        <v>0</v>
      </c>
      <c r="CK80" s="823">
        <f t="shared" si="106"/>
        <v>0</v>
      </c>
      <c r="CL80" s="823">
        <f t="shared" si="106"/>
        <v>0</v>
      </c>
      <c r="CM80" s="823">
        <f>+CM81</f>
        <v>0</v>
      </c>
      <c r="CN80" s="823">
        <f>+CN81</f>
        <v>0</v>
      </c>
      <c r="CO80" s="823">
        <f>+CO81</f>
        <v>0</v>
      </c>
      <c r="CP80" s="823">
        <f>+CP81</f>
        <v>0</v>
      </c>
      <c r="CQ80" s="823">
        <f>+CQ81</f>
        <v>0</v>
      </c>
      <c r="CR80" s="823">
        <f t="shared" ref="CR80:DB80" si="107">+CR81</f>
        <v>0</v>
      </c>
      <c r="CS80" s="823">
        <f t="shared" si="107"/>
        <v>0</v>
      </c>
      <c r="CT80" s="823">
        <f t="shared" si="107"/>
        <v>0</v>
      </c>
      <c r="CU80" s="823">
        <f>+CU81</f>
        <v>0</v>
      </c>
      <c r="CV80" s="823">
        <f t="shared" si="107"/>
        <v>0</v>
      </c>
      <c r="CW80" s="823">
        <f t="shared" si="107"/>
        <v>0</v>
      </c>
      <c r="CX80" s="823">
        <f t="shared" si="107"/>
        <v>0</v>
      </c>
      <c r="CY80" s="823">
        <f>+CY81</f>
        <v>0</v>
      </c>
      <c r="CZ80" s="823">
        <f t="shared" si="107"/>
        <v>0</v>
      </c>
      <c r="DA80" s="823">
        <f t="shared" si="107"/>
        <v>0</v>
      </c>
      <c r="DB80" s="823">
        <f t="shared" si="107"/>
        <v>0</v>
      </c>
      <c r="DC80" s="823">
        <f>+DC81</f>
        <v>0</v>
      </c>
      <c r="DD80" s="823">
        <f t="shared" ref="DD80:ED80" si="108">+DD81</f>
        <v>0</v>
      </c>
      <c r="DE80" s="823">
        <f t="shared" si="108"/>
        <v>0</v>
      </c>
      <c r="DF80" s="823">
        <f t="shared" si="108"/>
        <v>0</v>
      </c>
      <c r="DG80" s="823">
        <f>+DG81</f>
        <v>0</v>
      </c>
      <c r="DH80" s="823">
        <f t="shared" si="108"/>
        <v>0</v>
      </c>
      <c r="DI80" s="823">
        <f t="shared" si="108"/>
        <v>0</v>
      </c>
      <c r="DJ80" s="823">
        <f t="shared" si="108"/>
        <v>0</v>
      </c>
      <c r="DK80" s="823">
        <f>+DK81</f>
        <v>0</v>
      </c>
      <c r="DL80" s="823">
        <f t="shared" si="108"/>
        <v>0</v>
      </c>
      <c r="DM80" s="823">
        <f t="shared" si="108"/>
        <v>0</v>
      </c>
      <c r="DN80" s="823">
        <f t="shared" si="108"/>
        <v>0</v>
      </c>
      <c r="DO80" s="823">
        <f>+DO81</f>
        <v>0</v>
      </c>
      <c r="DP80" s="823">
        <f t="shared" si="108"/>
        <v>0</v>
      </c>
      <c r="DQ80" s="823">
        <f t="shared" si="108"/>
        <v>0</v>
      </c>
      <c r="DR80" s="823">
        <f t="shared" si="108"/>
        <v>0</v>
      </c>
      <c r="DS80" s="823">
        <f>+DS81</f>
        <v>0</v>
      </c>
      <c r="DT80" s="823">
        <f t="shared" si="108"/>
        <v>0</v>
      </c>
      <c r="DU80" s="823">
        <f t="shared" si="108"/>
        <v>0</v>
      </c>
      <c r="DV80" s="823">
        <f t="shared" si="108"/>
        <v>0</v>
      </c>
      <c r="DW80" s="823">
        <f>+DW81</f>
        <v>0</v>
      </c>
      <c r="DX80" s="823">
        <f t="shared" si="108"/>
        <v>0</v>
      </c>
      <c r="DY80" s="823">
        <f t="shared" si="108"/>
        <v>0</v>
      </c>
      <c r="DZ80" s="823">
        <f t="shared" si="108"/>
        <v>0</v>
      </c>
      <c r="EA80" s="823">
        <f t="shared" si="108"/>
        <v>0</v>
      </c>
      <c r="EB80" s="823">
        <f t="shared" si="108"/>
        <v>0</v>
      </c>
      <c r="EC80" s="823">
        <f t="shared" si="108"/>
        <v>0</v>
      </c>
      <c r="ED80" s="823">
        <f t="shared" si="108"/>
        <v>0</v>
      </c>
      <c r="EE80" s="857">
        <f>+C80+G80+K80+O80+S80+W80+AA80+AE80+AI80+AM80+AQ80+AU80+AY80+BC80+BG80+BK80+BO80+BS80+BW80+CA80+CE80+CI80+CM80+CQ80+CU80+CY80+DC80+DG80+DK80+DO80+EA80+DS80+DW80</f>
        <v>0</v>
      </c>
      <c r="EF80" s="857">
        <f>+D80+H80+L80+P80+T80+X80+AB80+AF80+AJ80+AN80+AR80+AV80+AZ80+BD80+BH80+BL80+BP80+BT80+BX80+CB80+CF80+CJ80+CN80+CR80+CV80+CZ80+DD80+DH80+DL80+DP80+EB80+DS80+DT80+DX80</f>
        <v>0</v>
      </c>
      <c r="EG80" s="857">
        <f>+E80+I80+M80+Q80+U80+Y80+AC80+AG80+AK80+AO80+AS80+AW80+BA80+BE80+BI80+BM80+BQ80+BU80+BY80+CC80+CG80+CK80+CO80+CS80+CW80+DA80+DE80+DI80+DM80+DQ80+EC80+DU80+DY80</f>
        <v>0</v>
      </c>
      <c r="EH80" s="857">
        <f>+F80+J80+N80+R80+V80+Z80+AD80+AH80+AL80+AP80+AT80+AX80+BB80+BF80+BJ80+BN80+BR80+BV80+BZ80+CD80+CH80+CL80+CP80+CT80+CX80+DB80+DF80+DJ80+DN80+DR80+ED80+DV80+DZ80</f>
        <v>0</v>
      </c>
      <c r="EI80" s="824">
        <f t="shared" si="85"/>
        <v>0</v>
      </c>
      <c r="EK80" s="813"/>
    </row>
    <row r="81" spans="1:141" ht="27" thickTop="1" thickBot="1" x14ac:dyDescent="0.3">
      <c r="A81" s="825" t="s">
        <v>1610</v>
      </c>
      <c r="B81" s="829">
        <f>+'[5]Evidencias ejec SEM I-2022'!AJ94</f>
        <v>0</v>
      </c>
      <c r="C81" s="827"/>
      <c r="D81" s="827"/>
      <c r="E81" s="827"/>
      <c r="F81" s="827"/>
      <c r="G81" s="827"/>
      <c r="H81" s="827"/>
      <c r="I81" s="827"/>
      <c r="J81" s="827"/>
      <c r="K81" s="827"/>
      <c r="L81" s="827"/>
      <c r="M81" s="827"/>
      <c r="N81" s="827"/>
      <c r="O81" s="828"/>
      <c r="P81" s="828"/>
      <c r="Q81" s="827"/>
      <c r="R81" s="828"/>
      <c r="S81" s="828"/>
      <c r="T81" s="828"/>
      <c r="U81" s="827"/>
      <c r="V81" s="827"/>
      <c r="W81" s="827"/>
      <c r="X81" s="827"/>
      <c r="Y81" s="827"/>
      <c r="Z81" s="827"/>
      <c r="AA81" s="827"/>
      <c r="AB81" s="827"/>
      <c r="AC81" s="827"/>
      <c r="AD81" s="827"/>
      <c r="AE81" s="827"/>
      <c r="AF81" s="827"/>
      <c r="AG81" s="827"/>
      <c r="AH81" s="827"/>
      <c r="AI81" s="827"/>
      <c r="AJ81" s="827"/>
      <c r="AK81" s="827"/>
      <c r="AL81" s="827"/>
      <c r="AM81" s="827"/>
      <c r="AN81" s="827"/>
      <c r="AO81" s="827"/>
      <c r="AP81" s="827"/>
      <c r="AQ81" s="827"/>
      <c r="AR81" s="827"/>
      <c r="AS81" s="827"/>
      <c r="AT81" s="827"/>
      <c r="AU81" s="827"/>
      <c r="AV81" s="827"/>
      <c r="AW81" s="827"/>
      <c r="AX81" s="827"/>
      <c r="AY81" s="827"/>
      <c r="AZ81" s="827"/>
      <c r="BA81" s="827"/>
      <c r="BB81" s="827"/>
      <c r="BC81" s="827"/>
      <c r="BD81" s="827"/>
      <c r="BE81" s="827"/>
      <c r="BF81" s="827"/>
      <c r="BG81" s="827"/>
      <c r="BH81" s="827"/>
      <c r="BI81" s="827"/>
      <c r="BJ81" s="827"/>
      <c r="BK81" s="827"/>
      <c r="BL81" s="827"/>
      <c r="BM81" s="827"/>
      <c r="BN81" s="827"/>
      <c r="BO81" s="827"/>
      <c r="BP81" s="827"/>
      <c r="BQ81" s="827"/>
      <c r="BR81" s="827"/>
      <c r="BS81" s="827"/>
      <c r="BT81" s="827"/>
      <c r="BU81" s="827"/>
      <c r="BV81" s="827"/>
      <c r="BW81" s="827"/>
      <c r="BX81" s="827"/>
      <c r="BY81" s="827"/>
      <c r="BZ81" s="827"/>
      <c r="CA81" s="827"/>
      <c r="CB81" s="827"/>
      <c r="CC81" s="827"/>
      <c r="CD81" s="827"/>
      <c r="CE81" s="827"/>
      <c r="CF81" s="827"/>
      <c r="CG81" s="827"/>
      <c r="CH81" s="827"/>
      <c r="CI81" s="827"/>
      <c r="CJ81" s="827"/>
      <c r="CK81" s="827"/>
      <c r="CL81" s="827"/>
      <c r="CM81" s="836">
        <v>0</v>
      </c>
      <c r="CN81" s="836">
        <v>0</v>
      </c>
      <c r="CO81" s="836">
        <v>0</v>
      </c>
      <c r="CP81" s="836">
        <v>0</v>
      </c>
      <c r="CQ81" s="836">
        <v>0</v>
      </c>
      <c r="CR81" s="836">
        <v>0</v>
      </c>
      <c r="CS81" s="836">
        <v>0</v>
      </c>
      <c r="CT81" s="836">
        <v>0</v>
      </c>
      <c r="CU81" s="836">
        <v>0</v>
      </c>
      <c r="CV81" s="836">
        <v>0</v>
      </c>
      <c r="CW81" s="836">
        <v>0</v>
      </c>
      <c r="CX81" s="836">
        <v>0</v>
      </c>
      <c r="CY81" s="836">
        <v>0</v>
      </c>
      <c r="CZ81" s="836">
        <v>0</v>
      </c>
      <c r="DA81" s="836">
        <v>0</v>
      </c>
      <c r="DB81" s="836">
        <v>0</v>
      </c>
      <c r="DC81" s="836">
        <v>0</v>
      </c>
      <c r="DD81" s="836">
        <v>0</v>
      </c>
      <c r="DE81" s="836">
        <v>0</v>
      </c>
      <c r="DF81" s="836">
        <v>0</v>
      </c>
      <c r="DG81" s="836">
        <v>0</v>
      </c>
      <c r="DH81" s="836">
        <v>0</v>
      </c>
      <c r="DI81" s="836">
        <v>0</v>
      </c>
      <c r="DJ81" s="836">
        <v>0</v>
      </c>
      <c r="DK81" s="836">
        <v>0</v>
      </c>
      <c r="DL81" s="836">
        <v>0</v>
      </c>
      <c r="DM81" s="836">
        <v>0</v>
      </c>
      <c r="DN81" s="836">
        <v>0</v>
      </c>
      <c r="DO81" s="836">
        <v>0</v>
      </c>
      <c r="DP81" s="836">
        <v>0</v>
      </c>
      <c r="DQ81" s="836">
        <v>0</v>
      </c>
      <c r="DR81" s="836">
        <v>0</v>
      </c>
      <c r="DS81" s="836">
        <v>0</v>
      </c>
      <c r="DT81" s="836">
        <v>0</v>
      </c>
      <c r="DU81" s="836">
        <v>0</v>
      </c>
      <c r="DV81" s="836">
        <v>0</v>
      </c>
      <c r="DW81" s="836">
        <v>0</v>
      </c>
      <c r="DX81" s="836">
        <v>0</v>
      </c>
      <c r="DY81" s="836">
        <v>0</v>
      </c>
      <c r="DZ81" s="836">
        <v>0</v>
      </c>
      <c r="EA81" s="828"/>
      <c r="EB81" s="828"/>
      <c r="EC81" s="827"/>
      <c r="ED81" s="827"/>
      <c r="EE81" s="858">
        <f t="shared" ref="EE81" si="109">+C81+G81+K81+O81+S81+W81+AA81+AE81+AI81+AM81+AQ81+AU81+AY81+BC81+BG81+BK81+BO81+BS81+BW81+CA81+CE81+CI81+CM81+CQ81+CU81+CY81+DC81+DG81+DK81+DO81+EA81+DS81+DW81</f>
        <v>0</v>
      </c>
      <c r="EF81" s="858">
        <f t="shared" ref="EF81" si="110">+D81+H81+L81+P81+T81+X81+AB81+AF81+AJ81+AN81+AR81+AV81+AZ81+BD81+BH81+BL81+BP81+BT81+BX81+CB81+CF81+CJ81+CN81+CR81+CV81+CZ81+DD81+DH81+DL81+DP81+EB81+DS81+DT81+DX81</f>
        <v>0</v>
      </c>
      <c r="EG81" s="858">
        <f t="shared" ref="EG81:EH81" si="111">+E81+I81+M81+Q81+U81+Y81+AC81+AG81+AK81+AO81+AS81+AW81+BA81+BE81+BI81+BM81+BQ81+BU81+BY81+CC81+CG81+CK81+CO81+CS81+CW81+DA81+DE81+DI81+DM81+DQ81+EC81+DU81+DY81</f>
        <v>0</v>
      </c>
      <c r="EH81" s="858">
        <f t="shared" si="111"/>
        <v>0</v>
      </c>
      <c r="EI81" s="725">
        <f t="shared" si="85"/>
        <v>0</v>
      </c>
      <c r="EK81" s="813"/>
    </row>
    <row r="82" spans="1:141" ht="47.25" customHeight="1" thickTop="1" thickBot="1" x14ac:dyDescent="0.3">
      <c r="A82" s="814" t="s">
        <v>2026</v>
      </c>
      <c r="B82" s="815">
        <f>+B83</f>
        <v>1680000000</v>
      </c>
      <c r="C82" s="815">
        <f t="shared" ref="C82:CF82" si="112">+C83</f>
        <v>0</v>
      </c>
      <c r="D82" s="815">
        <f t="shared" si="112"/>
        <v>0</v>
      </c>
      <c r="E82" s="815">
        <f t="shared" si="112"/>
        <v>0</v>
      </c>
      <c r="F82" s="815">
        <f t="shared" si="112"/>
        <v>0</v>
      </c>
      <c r="G82" s="815">
        <f t="shared" si="112"/>
        <v>0</v>
      </c>
      <c r="H82" s="815">
        <f t="shared" si="112"/>
        <v>0</v>
      </c>
      <c r="I82" s="815">
        <f t="shared" si="112"/>
        <v>0</v>
      </c>
      <c r="J82" s="815">
        <f t="shared" si="112"/>
        <v>0</v>
      </c>
      <c r="K82" s="815">
        <f t="shared" si="112"/>
        <v>0</v>
      </c>
      <c r="L82" s="815">
        <f t="shared" si="112"/>
        <v>0</v>
      </c>
      <c r="M82" s="815">
        <f t="shared" si="112"/>
        <v>0</v>
      </c>
      <c r="N82" s="815">
        <f t="shared" si="112"/>
        <v>0</v>
      </c>
      <c r="O82" s="815">
        <f t="shared" si="112"/>
        <v>0</v>
      </c>
      <c r="P82" s="815">
        <f t="shared" si="112"/>
        <v>0</v>
      </c>
      <c r="Q82" s="815">
        <f t="shared" si="112"/>
        <v>0</v>
      </c>
      <c r="R82" s="815">
        <f t="shared" si="112"/>
        <v>0</v>
      </c>
      <c r="S82" s="815">
        <f t="shared" si="112"/>
        <v>0</v>
      </c>
      <c r="T82" s="815">
        <f t="shared" si="112"/>
        <v>0</v>
      </c>
      <c r="U82" s="815">
        <f t="shared" si="112"/>
        <v>0</v>
      </c>
      <c r="V82" s="815">
        <f t="shared" si="112"/>
        <v>0</v>
      </c>
      <c r="W82" s="815">
        <f t="shared" si="112"/>
        <v>0</v>
      </c>
      <c r="X82" s="815">
        <f t="shared" si="112"/>
        <v>0</v>
      </c>
      <c r="Y82" s="815">
        <f t="shared" si="112"/>
        <v>0</v>
      </c>
      <c r="Z82" s="815">
        <f t="shared" si="112"/>
        <v>0</v>
      </c>
      <c r="AA82" s="815">
        <f t="shared" si="112"/>
        <v>0</v>
      </c>
      <c r="AB82" s="815">
        <f t="shared" si="112"/>
        <v>0</v>
      </c>
      <c r="AC82" s="815">
        <f t="shared" si="112"/>
        <v>0</v>
      </c>
      <c r="AD82" s="815">
        <f t="shared" si="112"/>
        <v>0</v>
      </c>
      <c r="AE82" s="815">
        <f t="shared" si="112"/>
        <v>0</v>
      </c>
      <c r="AF82" s="815">
        <f t="shared" si="112"/>
        <v>0</v>
      </c>
      <c r="AG82" s="815">
        <f t="shared" si="112"/>
        <v>0</v>
      </c>
      <c r="AH82" s="815">
        <f t="shared" si="112"/>
        <v>0</v>
      </c>
      <c r="AI82" s="815">
        <f t="shared" si="112"/>
        <v>0</v>
      </c>
      <c r="AJ82" s="815">
        <f t="shared" si="112"/>
        <v>0</v>
      </c>
      <c r="AK82" s="815">
        <f t="shared" si="112"/>
        <v>0</v>
      </c>
      <c r="AL82" s="815">
        <f t="shared" si="112"/>
        <v>0</v>
      </c>
      <c r="AM82" s="815">
        <f t="shared" si="112"/>
        <v>0</v>
      </c>
      <c r="AN82" s="815">
        <f t="shared" si="112"/>
        <v>0</v>
      </c>
      <c r="AO82" s="815">
        <f t="shared" si="112"/>
        <v>0</v>
      </c>
      <c r="AP82" s="815">
        <f t="shared" si="112"/>
        <v>0</v>
      </c>
      <c r="AQ82" s="815">
        <f t="shared" si="112"/>
        <v>0</v>
      </c>
      <c r="AR82" s="815">
        <f t="shared" si="112"/>
        <v>0</v>
      </c>
      <c r="AS82" s="815">
        <f t="shared" si="112"/>
        <v>0</v>
      </c>
      <c r="AT82" s="815">
        <f t="shared" si="112"/>
        <v>0</v>
      </c>
      <c r="AU82" s="815">
        <f t="shared" si="112"/>
        <v>0</v>
      </c>
      <c r="AV82" s="815">
        <f t="shared" si="112"/>
        <v>0</v>
      </c>
      <c r="AW82" s="815">
        <f t="shared" si="112"/>
        <v>0</v>
      </c>
      <c r="AX82" s="815">
        <f t="shared" si="112"/>
        <v>0</v>
      </c>
      <c r="AY82" s="815">
        <f t="shared" si="112"/>
        <v>0</v>
      </c>
      <c r="AZ82" s="815">
        <f t="shared" si="112"/>
        <v>0</v>
      </c>
      <c r="BA82" s="815">
        <f t="shared" si="112"/>
        <v>0</v>
      </c>
      <c r="BB82" s="815">
        <f t="shared" si="112"/>
        <v>0</v>
      </c>
      <c r="BC82" s="815">
        <f t="shared" si="112"/>
        <v>0</v>
      </c>
      <c r="BD82" s="815">
        <f t="shared" si="112"/>
        <v>0</v>
      </c>
      <c r="BE82" s="815">
        <f t="shared" si="112"/>
        <v>0</v>
      </c>
      <c r="BF82" s="815">
        <f t="shared" si="112"/>
        <v>0</v>
      </c>
      <c r="BG82" s="815">
        <f t="shared" si="112"/>
        <v>0</v>
      </c>
      <c r="BH82" s="815">
        <f t="shared" si="112"/>
        <v>0</v>
      </c>
      <c r="BI82" s="815">
        <f t="shared" si="112"/>
        <v>0</v>
      </c>
      <c r="BJ82" s="815">
        <f t="shared" si="112"/>
        <v>0</v>
      </c>
      <c r="BK82" s="815">
        <f t="shared" si="112"/>
        <v>0</v>
      </c>
      <c r="BL82" s="815">
        <f t="shared" si="112"/>
        <v>0</v>
      </c>
      <c r="BM82" s="815">
        <f t="shared" si="112"/>
        <v>0</v>
      </c>
      <c r="BN82" s="815">
        <f t="shared" si="112"/>
        <v>0</v>
      </c>
      <c r="BO82" s="815">
        <f t="shared" si="112"/>
        <v>0</v>
      </c>
      <c r="BP82" s="815">
        <f t="shared" si="112"/>
        <v>0</v>
      </c>
      <c r="BQ82" s="815">
        <f t="shared" si="112"/>
        <v>0</v>
      </c>
      <c r="BR82" s="815">
        <f t="shared" si="112"/>
        <v>0</v>
      </c>
      <c r="BS82" s="815">
        <f t="shared" si="112"/>
        <v>0</v>
      </c>
      <c r="BT82" s="815">
        <f t="shared" si="112"/>
        <v>0</v>
      </c>
      <c r="BU82" s="815">
        <f t="shared" si="112"/>
        <v>0</v>
      </c>
      <c r="BV82" s="815">
        <f t="shared" si="112"/>
        <v>0</v>
      </c>
      <c r="BW82" s="815">
        <f t="shared" si="112"/>
        <v>0</v>
      </c>
      <c r="BX82" s="815">
        <f t="shared" si="112"/>
        <v>0</v>
      </c>
      <c r="BY82" s="815">
        <f t="shared" si="112"/>
        <v>0</v>
      </c>
      <c r="BZ82" s="815">
        <f t="shared" si="112"/>
        <v>0</v>
      </c>
      <c r="CA82" s="815">
        <f t="shared" si="112"/>
        <v>0</v>
      </c>
      <c r="CB82" s="815">
        <f t="shared" si="112"/>
        <v>0</v>
      </c>
      <c r="CC82" s="815">
        <f t="shared" si="112"/>
        <v>0</v>
      </c>
      <c r="CD82" s="815">
        <f t="shared" si="112"/>
        <v>0</v>
      </c>
      <c r="CE82" s="815">
        <f t="shared" si="112"/>
        <v>0</v>
      </c>
      <c r="CF82" s="815">
        <f t="shared" si="112"/>
        <v>0</v>
      </c>
      <c r="CG82" s="815">
        <f t="shared" ref="CG82:ED82" si="113">+CG83</f>
        <v>0</v>
      </c>
      <c r="CH82" s="815">
        <f t="shared" si="113"/>
        <v>0</v>
      </c>
      <c r="CI82" s="815">
        <f t="shared" si="113"/>
        <v>0</v>
      </c>
      <c r="CJ82" s="815">
        <f t="shared" si="113"/>
        <v>0</v>
      </c>
      <c r="CK82" s="815">
        <f t="shared" si="113"/>
        <v>0</v>
      </c>
      <c r="CL82" s="815">
        <f t="shared" si="113"/>
        <v>0</v>
      </c>
      <c r="CM82" s="815">
        <f t="shared" si="113"/>
        <v>220000000</v>
      </c>
      <c r="CN82" s="815">
        <f t="shared" si="113"/>
        <v>200999000</v>
      </c>
      <c r="CO82" s="815">
        <f t="shared" si="113"/>
        <v>135544455</v>
      </c>
      <c r="CP82" s="815">
        <f t="shared" si="113"/>
        <v>135544455</v>
      </c>
      <c r="CQ82" s="815">
        <f t="shared" si="113"/>
        <v>1170000000</v>
      </c>
      <c r="CR82" s="815">
        <f t="shared" si="113"/>
        <v>906277079</v>
      </c>
      <c r="CS82" s="815">
        <f t="shared" si="113"/>
        <v>899777079</v>
      </c>
      <c r="CT82" s="815">
        <f t="shared" si="113"/>
        <v>897777079</v>
      </c>
      <c r="CU82" s="815">
        <f t="shared" si="113"/>
        <v>0</v>
      </c>
      <c r="CV82" s="815">
        <f t="shared" si="113"/>
        <v>0</v>
      </c>
      <c r="CW82" s="815">
        <f t="shared" si="113"/>
        <v>0</v>
      </c>
      <c r="CX82" s="815">
        <f t="shared" si="113"/>
        <v>0</v>
      </c>
      <c r="CY82" s="815">
        <f t="shared" si="113"/>
        <v>290000000</v>
      </c>
      <c r="CZ82" s="815">
        <f t="shared" si="113"/>
        <v>254352381</v>
      </c>
      <c r="DA82" s="815">
        <f t="shared" si="113"/>
        <v>243393157</v>
      </c>
      <c r="DB82" s="815">
        <f t="shared" si="113"/>
        <v>243393157</v>
      </c>
      <c r="DC82" s="815">
        <f t="shared" si="113"/>
        <v>0</v>
      </c>
      <c r="DD82" s="815">
        <f t="shared" si="113"/>
        <v>0</v>
      </c>
      <c r="DE82" s="815">
        <f t="shared" si="113"/>
        <v>0</v>
      </c>
      <c r="DF82" s="815">
        <f t="shared" si="113"/>
        <v>0</v>
      </c>
      <c r="DG82" s="815">
        <f t="shared" si="113"/>
        <v>0</v>
      </c>
      <c r="DH82" s="815">
        <f t="shared" si="113"/>
        <v>0</v>
      </c>
      <c r="DI82" s="815">
        <f t="shared" si="113"/>
        <v>0</v>
      </c>
      <c r="DJ82" s="815">
        <f t="shared" si="113"/>
        <v>0</v>
      </c>
      <c r="DK82" s="815">
        <f t="shared" si="113"/>
        <v>0</v>
      </c>
      <c r="DL82" s="815">
        <f t="shared" si="113"/>
        <v>0</v>
      </c>
      <c r="DM82" s="815">
        <f t="shared" si="113"/>
        <v>0</v>
      </c>
      <c r="DN82" s="815">
        <f t="shared" si="113"/>
        <v>0</v>
      </c>
      <c r="DO82" s="815">
        <f t="shared" si="113"/>
        <v>0</v>
      </c>
      <c r="DP82" s="815">
        <f t="shared" si="113"/>
        <v>0</v>
      </c>
      <c r="DQ82" s="815">
        <f t="shared" si="113"/>
        <v>0</v>
      </c>
      <c r="DR82" s="815">
        <f t="shared" si="113"/>
        <v>0</v>
      </c>
      <c r="DS82" s="815">
        <f t="shared" si="113"/>
        <v>0</v>
      </c>
      <c r="DT82" s="815">
        <f t="shared" si="113"/>
        <v>0</v>
      </c>
      <c r="DU82" s="815">
        <f t="shared" si="113"/>
        <v>0</v>
      </c>
      <c r="DV82" s="815">
        <f t="shared" si="113"/>
        <v>0</v>
      </c>
      <c r="DW82" s="815">
        <f t="shared" si="113"/>
        <v>0</v>
      </c>
      <c r="DX82" s="815">
        <f t="shared" si="113"/>
        <v>0</v>
      </c>
      <c r="DY82" s="815">
        <f t="shared" si="113"/>
        <v>0</v>
      </c>
      <c r="DZ82" s="815">
        <f t="shared" si="113"/>
        <v>0</v>
      </c>
      <c r="EA82" s="815">
        <f t="shared" si="113"/>
        <v>0</v>
      </c>
      <c r="EB82" s="815">
        <f t="shared" si="113"/>
        <v>0</v>
      </c>
      <c r="EC82" s="815">
        <f t="shared" si="113"/>
        <v>0</v>
      </c>
      <c r="ED82" s="815">
        <f t="shared" si="113"/>
        <v>0</v>
      </c>
      <c r="EE82" s="856">
        <f>+C82+G82+K82+O82+S82+W82+AA82+AE82+AI82+AM82+AQ82+AU82+AY82+BC82+BG82+BK82+BO82+BS82+BW82+CA82+CE82+CI82+CM82+CQ82+CU82+CY82+DC82+DG82+DK82+DO82+EA82+DS82+DW82</f>
        <v>1680000000</v>
      </c>
      <c r="EF82" s="856">
        <f>+D82+H82+L82+P82+T82+X82+AB82+AF82+AJ82+AN82+AR82+AV82+AZ82+BD82+BH82+BL82+BP82+BT82+BX82+CB82+CF82+CJ82+CN82+CR82+CV82+CZ82+DD82+DH82+DL82+DP82+EB82+DT82+DX82</f>
        <v>1361628460</v>
      </c>
      <c r="EG82" s="856">
        <f>+E82+I82+M82+Q82+U82+Y82+AC82+AG82+AK82+AO82+AS82+AW82+BA82+BE82+BI82+BM82+BQ82+BU82+BY82+CC82+CG82+CK82+CO82+CS82+CW82+DA82+DE82+DI82+DM82+DQ82+EC82+DU82+DY82</f>
        <v>1278714691</v>
      </c>
      <c r="EH82" s="856">
        <f>+F82+J82+N82+R82+V82+Z82+AD82+AH82+AL82+AP82+AT82+AX82+BB82+BF82+BJ82+BN82+BR82+BV82+BZ82+CD82+CH82+CL82+CP82+CT82+CX82+DB82+DF82+DJ82+DN82+DR82+ED82+DV82+DZ82</f>
        <v>1276714691</v>
      </c>
      <c r="EI82" s="817">
        <f t="shared" si="85"/>
        <v>0</v>
      </c>
      <c r="EK82" s="813"/>
    </row>
    <row r="83" spans="1:141" ht="40.5" customHeight="1" thickTop="1" thickBot="1" x14ac:dyDescent="0.3">
      <c r="A83" s="818" t="s">
        <v>1611</v>
      </c>
      <c r="B83" s="819">
        <f t="shared" ref="B83:BM83" si="114">+B84+B90+B92+B94</f>
        <v>1680000000</v>
      </c>
      <c r="C83" s="819">
        <f t="shared" si="114"/>
        <v>0</v>
      </c>
      <c r="D83" s="819">
        <f t="shared" si="114"/>
        <v>0</v>
      </c>
      <c r="E83" s="819">
        <f t="shared" si="114"/>
        <v>0</v>
      </c>
      <c r="F83" s="819">
        <f t="shared" si="114"/>
        <v>0</v>
      </c>
      <c r="G83" s="819">
        <f t="shared" si="114"/>
        <v>0</v>
      </c>
      <c r="H83" s="819">
        <f t="shared" si="114"/>
        <v>0</v>
      </c>
      <c r="I83" s="819">
        <f t="shared" si="114"/>
        <v>0</v>
      </c>
      <c r="J83" s="819">
        <f t="shared" si="114"/>
        <v>0</v>
      </c>
      <c r="K83" s="819">
        <f t="shared" si="114"/>
        <v>0</v>
      </c>
      <c r="L83" s="819">
        <f t="shared" si="114"/>
        <v>0</v>
      </c>
      <c r="M83" s="819">
        <f t="shared" si="114"/>
        <v>0</v>
      </c>
      <c r="N83" s="819">
        <f t="shared" si="114"/>
        <v>0</v>
      </c>
      <c r="O83" s="819">
        <f t="shared" si="114"/>
        <v>0</v>
      </c>
      <c r="P83" s="819">
        <f t="shared" si="114"/>
        <v>0</v>
      </c>
      <c r="Q83" s="819">
        <f t="shared" si="114"/>
        <v>0</v>
      </c>
      <c r="R83" s="819">
        <f t="shared" si="114"/>
        <v>0</v>
      </c>
      <c r="S83" s="819">
        <f t="shared" si="114"/>
        <v>0</v>
      </c>
      <c r="T83" s="819">
        <f t="shared" si="114"/>
        <v>0</v>
      </c>
      <c r="U83" s="819">
        <f t="shared" si="114"/>
        <v>0</v>
      </c>
      <c r="V83" s="819">
        <f t="shared" si="114"/>
        <v>0</v>
      </c>
      <c r="W83" s="819">
        <f t="shared" si="114"/>
        <v>0</v>
      </c>
      <c r="X83" s="819">
        <f t="shared" si="114"/>
        <v>0</v>
      </c>
      <c r="Y83" s="819">
        <f t="shared" si="114"/>
        <v>0</v>
      </c>
      <c r="Z83" s="819">
        <f t="shared" si="114"/>
        <v>0</v>
      </c>
      <c r="AA83" s="819">
        <f t="shared" si="114"/>
        <v>0</v>
      </c>
      <c r="AB83" s="819">
        <f t="shared" si="114"/>
        <v>0</v>
      </c>
      <c r="AC83" s="819">
        <f t="shared" si="114"/>
        <v>0</v>
      </c>
      <c r="AD83" s="819">
        <f t="shared" si="114"/>
        <v>0</v>
      </c>
      <c r="AE83" s="819">
        <f t="shared" si="114"/>
        <v>0</v>
      </c>
      <c r="AF83" s="819">
        <f t="shared" si="114"/>
        <v>0</v>
      </c>
      <c r="AG83" s="819">
        <f t="shared" si="114"/>
        <v>0</v>
      </c>
      <c r="AH83" s="819">
        <f t="shared" si="114"/>
        <v>0</v>
      </c>
      <c r="AI83" s="819">
        <f t="shared" si="114"/>
        <v>0</v>
      </c>
      <c r="AJ83" s="819">
        <f t="shared" si="114"/>
        <v>0</v>
      </c>
      <c r="AK83" s="819">
        <f t="shared" si="114"/>
        <v>0</v>
      </c>
      <c r="AL83" s="819">
        <f t="shared" si="114"/>
        <v>0</v>
      </c>
      <c r="AM83" s="819">
        <f t="shared" si="114"/>
        <v>0</v>
      </c>
      <c r="AN83" s="819">
        <f t="shared" si="114"/>
        <v>0</v>
      </c>
      <c r="AO83" s="819">
        <f t="shared" si="114"/>
        <v>0</v>
      </c>
      <c r="AP83" s="819">
        <f t="shared" si="114"/>
        <v>0</v>
      </c>
      <c r="AQ83" s="819">
        <f t="shared" si="114"/>
        <v>0</v>
      </c>
      <c r="AR83" s="819">
        <f t="shared" si="114"/>
        <v>0</v>
      </c>
      <c r="AS83" s="819">
        <f t="shared" si="114"/>
        <v>0</v>
      </c>
      <c r="AT83" s="819">
        <f t="shared" si="114"/>
        <v>0</v>
      </c>
      <c r="AU83" s="819">
        <f t="shared" si="114"/>
        <v>0</v>
      </c>
      <c r="AV83" s="819">
        <f t="shared" si="114"/>
        <v>0</v>
      </c>
      <c r="AW83" s="819">
        <f t="shared" si="114"/>
        <v>0</v>
      </c>
      <c r="AX83" s="819">
        <f t="shared" si="114"/>
        <v>0</v>
      </c>
      <c r="AY83" s="819">
        <f t="shared" si="114"/>
        <v>0</v>
      </c>
      <c r="AZ83" s="819">
        <f t="shared" si="114"/>
        <v>0</v>
      </c>
      <c r="BA83" s="819">
        <f t="shared" si="114"/>
        <v>0</v>
      </c>
      <c r="BB83" s="819">
        <f t="shared" si="114"/>
        <v>0</v>
      </c>
      <c r="BC83" s="819">
        <f t="shared" si="114"/>
        <v>0</v>
      </c>
      <c r="BD83" s="819">
        <f t="shared" si="114"/>
        <v>0</v>
      </c>
      <c r="BE83" s="819">
        <f t="shared" si="114"/>
        <v>0</v>
      </c>
      <c r="BF83" s="819">
        <f t="shared" si="114"/>
        <v>0</v>
      </c>
      <c r="BG83" s="819">
        <f t="shared" si="114"/>
        <v>0</v>
      </c>
      <c r="BH83" s="819">
        <f t="shared" si="114"/>
        <v>0</v>
      </c>
      <c r="BI83" s="819">
        <f t="shared" si="114"/>
        <v>0</v>
      </c>
      <c r="BJ83" s="819">
        <f t="shared" si="114"/>
        <v>0</v>
      </c>
      <c r="BK83" s="819">
        <f t="shared" si="114"/>
        <v>0</v>
      </c>
      <c r="BL83" s="819">
        <f t="shared" si="114"/>
        <v>0</v>
      </c>
      <c r="BM83" s="819">
        <f t="shared" si="114"/>
        <v>0</v>
      </c>
      <c r="BN83" s="819">
        <f t="shared" ref="BN83:ED83" si="115">+BN84+BN90+BN92+BN94</f>
        <v>0</v>
      </c>
      <c r="BO83" s="819">
        <f t="shared" si="115"/>
        <v>0</v>
      </c>
      <c r="BP83" s="819">
        <f t="shared" si="115"/>
        <v>0</v>
      </c>
      <c r="BQ83" s="819">
        <f t="shared" si="115"/>
        <v>0</v>
      </c>
      <c r="BR83" s="819">
        <f t="shared" si="115"/>
        <v>0</v>
      </c>
      <c r="BS83" s="819">
        <f t="shared" si="115"/>
        <v>0</v>
      </c>
      <c r="BT83" s="819">
        <f t="shared" si="115"/>
        <v>0</v>
      </c>
      <c r="BU83" s="819">
        <f t="shared" si="115"/>
        <v>0</v>
      </c>
      <c r="BV83" s="819">
        <f t="shared" si="115"/>
        <v>0</v>
      </c>
      <c r="BW83" s="819">
        <f t="shared" si="115"/>
        <v>0</v>
      </c>
      <c r="BX83" s="819">
        <f t="shared" si="115"/>
        <v>0</v>
      </c>
      <c r="BY83" s="819">
        <f t="shared" si="115"/>
        <v>0</v>
      </c>
      <c r="BZ83" s="819">
        <f t="shared" si="115"/>
        <v>0</v>
      </c>
      <c r="CA83" s="819">
        <f t="shared" si="115"/>
        <v>0</v>
      </c>
      <c r="CB83" s="819">
        <f t="shared" si="115"/>
        <v>0</v>
      </c>
      <c r="CC83" s="819">
        <f t="shared" si="115"/>
        <v>0</v>
      </c>
      <c r="CD83" s="819">
        <f t="shared" si="115"/>
        <v>0</v>
      </c>
      <c r="CE83" s="819">
        <f t="shared" si="115"/>
        <v>0</v>
      </c>
      <c r="CF83" s="819">
        <f t="shared" si="115"/>
        <v>0</v>
      </c>
      <c r="CG83" s="819">
        <f t="shared" si="115"/>
        <v>0</v>
      </c>
      <c r="CH83" s="819">
        <f t="shared" si="115"/>
        <v>0</v>
      </c>
      <c r="CI83" s="819">
        <f t="shared" si="115"/>
        <v>0</v>
      </c>
      <c r="CJ83" s="819">
        <f t="shared" si="115"/>
        <v>0</v>
      </c>
      <c r="CK83" s="819">
        <f t="shared" si="115"/>
        <v>0</v>
      </c>
      <c r="CL83" s="819">
        <f t="shared" si="115"/>
        <v>0</v>
      </c>
      <c r="CM83" s="819">
        <f t="shared" si="115"/>
        <v>220000000</v>
      </c>
      <c r="CN83" s="819">
        <f t="shared" si="115"/>
        <v>200999000</v>
      </c>
      <c r="CO83" s="819">
        <f t="shared" si="115"/>
        <v>135544455</v>
      </c>
      <c r="CP83" s="819">
        <f t="shared" si="115"/>
        <v>135544455</v>
      </c>
      <c r="CQ83" s="819">
        <f t="shared" si="115"/>
        <v>1170000000</v>
      </c>
      <c r="CR83" s="819">
        <f t="shared" si="115"/>
        <v>906277079</v>
      </c>
      <c r="CS83" s="819">
        <f t="shared" si="115"/>
        <v>899777079</v>
      </c>
      <c r="CT83" s="819">
        <f t="shared" si="115"/>
        <v>897777079</v>
      </c>
      <c r="CU83" s="819">
        <f t="shared" si="115"/>
        <v>0</v>
      </c>
      <c r="CV83" s="819">
        <f t="shared" si="115"/>
        <v>0</v>
      </c>
      <c r="CW83" s="819">
        <f t="shared" si="115"/>
        <v>0</v>
      </c>
      <c r="CX83" s="819">
        <f t="shared" si="115"/>
        <v>0</v>
      </c>
      <c r="CY83" s="819">
        <f t="shared" si="115"/>
        <v>290000000</v>
      </c>
      <c r="CZ83" s="819">
        <f t="shared" si="115"/>
        <v>254352381</v>
      </c>
      <c r="DA83" s="819">
        <f t="shared" si="115"/>
        <v>243393157</v>
      </c>
      <c r="DB83" s="819">
        <f t="shared" si="115"/>
        <v>243393157</v>
      </c>
      <c r="DC83" s="819">
        <f t="shared" si="115"/>
        <v>0</v>
      </c>
      <c r="DD83" s="819">
        <f t="shared" si="115"/>
        <v>0</v>
      </c>
      <c r="DE83" s="819">
        <f t="shared" si="115"/>
        <v>0</v>
      </c>
      <c r="DF83" s="819">
        <f t="shared" si="115"/>
        <v>0</v>
      </c>
      <c r="DG83" s="819">
        <f t="shared" si="115"/>
        <v>0</v>
      </c>
      <c r="DH83" s="819">
        <f t="shared" si="115"/>
        <v>0</v>
      </c>
      <c r="DI83" s="819">
        <f t="shared" si="115"/>
        <v>0</v>
      </c>
      <c r="DJ83" s="819">
        <f t="shared" si="115"/>
        <v>0</v>
      </c>
      <c r="DK83" s="819">
        <f t="shared" si="115"/>
        <v>0</v>
      </c>
      <c r="DL83" s="819">
        <f t="shared" si="115"/>
        <v>0</v>
      </c>
      <c r="DM83" s="819">
        <f t="shared" si="115"/>
        <v>0</v>
      </c>
      <c r="DN83" s="819">
        <f t="shared" si="115"/>
        <v>0</v>
      </c>
      <c r="DO83" s="819">
        <f t="shared" si="115"/>
        <v>0</v>
      </c>
      <c r="DP83" s="819">
        <f t="shared" si="115"/>
        <v>0</v>
      </c>
      <c r="DQ83" s="819">
        <f t="shared" si="115"/>
        <v>0</v>
      </c>
      <c r="DR83" s="819">
        <f t="shared" si="115"/>
        <v>0</v>
      </c>
      <c r="DS83" s="819">
        <f t="shared" si="115"/>
        <v>0</v>
      </c>
      <c r="DT83" s="819">
        <f t="shared" si="115"/>
        <v>0</v>
      </c>
      <c r="DU83" s="819">
        <f t="shared" si="115"/>
        <v>0</v>
      </c>
      <c r="DV83" s="819">
        <f t="shared" si="115"/>
        <v>0</v>
      </c>
      <c r="DW83" s="819">
        <f t="shared" si="115"/>
        <v>0</v>
      </c>
      <c r="DX83" s="819">
        <f t="shared" si="115"/>
        <v>0</v>
      </c>
      <c r="DY83" s="819">
        <f t="shared" si="115"/>
        <v>0</v>
      </c>
      <c r="DZ83" s="819">
        <f t="shared" si="115"/>
        <v>0</v>
      </c>
      <c r="EA83" s="819">
        <f t="shared" si="115"/>
        <v>0</v>
      </c>
      <c r="EB83" s="819">
        <f t="shared" si="115"/>
        <v>0</v>
      </c>
      <c r="EC83" s="819">
        <f t="shared" si="115"/>
        <v>0</v>
      </c>
      <c r="ED83" s="819">
        <f t="shared" si="115"/>
        <v>0</v>
      </c>
      <c r="EE83" s="816">
        <f>+C83+G83+K83+O83+S83+W83+AA83+AE83+AI83+AM83+AQ83+AU83+AY83+BC83+BG83+BK83+BO83+BS83+BW83+CA83+CE83+CI83+CM83+CQ83+CU83+CY83+DC83+DG83+DK83+DO83+EA83+DS83+DW83</f>
        <v>1680000000</v>
      </c>
      <c r="EF83" s="816">
        <f>+D83+H83+L83+P83+T83+X83+AB83+AF83+AJ83+AN83+AR83+AV83+AZ83+BD83+BH83+BL83+BP83+BT83+BX83+CB83+CF83+CJ83+CN83+CR83+CV83+CZ83+DD83+DH83+DL83+DP83+EB83+DS83+DT83+DX83</f>
        <v>1361628460</v>
      </c>
      <c r="EG83" s="816">
        <f>+E83+I83+M83+Q83+U83+Y83+AC83+AG83+AK83+AO83+AS83+AW83+BA83+BE83+BI83+BM83+BQ83+BU83+BY83+CC83+CG83+CK83+CO83+CS83+CW83+DA83+DE83+DI83+DM83+DQ83+EC83+DU83+DY83</f>
        <v>1278714691</v>
      </c>
      <c r="EH83" s="816">
        <f>+F83+J83+N83+R83+V83+Z83+AD83+AH83+AL83+AP83+AT83+AX83+BB83+BF83+BJ83+BN83+BR83+BV83+BZ83+CD83+CH83+CL83+CP83+CT83+CX83+DB83+DF83+DJ83+DN83+DR83+ED83+DV83+DZ83</f>
        <v>1276714691</v>
      </c>
      <c r="EI83" s="821">
        <f t="shared" si="85"/>
        <v>0</v>
      </c>
      <c r="EK83" s="813"/>
    </row>
    <row r="84" spans="1:141" ht="27" thickTop="1" thickBot="1" x14ac:dyDescent="0.3">
      <c r="A84" s="822" t="s">
        <v>1612</v>
      </c>
      <c r="B84" s="823">
        <f>SUM(B85:B89)</f>
        <v>80000000</v>
      </c>
      <c r="C84" s="823">
        <f t="shared" ref="C84:CF84" si="116">SUM(C85:C89)</f>
        <v>0</v>
      </c>
      <c r="D84" s="823">
        <f t="shared" si="116"/>
        <v>0</v>
      </c>
      <c r="E84" s="823">
        <f t="shared" si="116"/>
        <v>0</v>
      </c>
      <c r="F84" s="823">
        <f t="shared" si="116"/>
        <v>0</v>
      </c>
      <c r="G84" s="823">
        <f t="shared" si="116"/>
        <v>0</v>
      </c>
      <c r="H84" s="823">
        <f t="shared" si="116"/>
        <v>0</v>
      </c>
      <c r="I84" s="823">
        <f t="shared" si="116"/>
        <v>0</v>
      </c>
      <c r="J84" s="823">
        <f t="shared" si="116"/>
        <v>0</v>
      </c>
      <c r="K84" s="823">
        <f>SUM(K85:K89)</f>
        <v>0</v>
      </c>
      <c r="L84" s="823">
        <f>SUM(L85:L89)</f>
        <v>0</v>
      </c>
      <c r="M84" s="823">
        <f>SUM(M85:M89)</f>
        <v>0</v>
      </c>
      <c r="N84" s="823">
        <f>SUM(N85:N89)</f>
        <v>0</v>
      </c>
      <c r="O84" s="823">
        <f t="shared" si="116"/>
        <v>0</v>
      </c>
      <c r="P84" s="823">
        <f t="shared" si="116"/>
        <v>0</v>
      </c>
      <c r="Q84" s="823">
        <f t="shared" si="116"/>
        <v>0</v>
      </c>
      <c r="R84" s="823">
        <f t="shared" si="116"/>
        <v>0</v>
      </c>
      <c r="S84" s="823">
        <f t="shared" si="116"/>
        <v>0</v>
      </c>
      <c r="T84" s="823">
        <f t="shared" si="116"/>
        <v>0</v>
      </c>
      <c r="U84" s="823">
        <f t="shared" si="116"/>
        <v>0</v>
      </c>
      <c r="V84" s="823">
        <f t="shared" si="116"/>
        <v>0</v>
      </c>
      <c r="W84" s="823">
        <f t="shared" si="116"/>
        <v>0</v>
      </c>
      <c r="X84" s="823">
        <f t="shared" si="116"/>
        <v>0</v>
      </c>
      <c r="Y84" s="823">
        <f t="shared" si="116"/>
        <v>0</v>
      </c>
      <c r="Z84" s="823">
        <f t="shared" si="116"/>
        <v>0</v>
      </c>
      <c r="AA84" s="823">
        <f t="shared" si="116"/>
        <v>0</v>
      </c>
      <c r="AB84" s="823">
        <f t="shared" si="116"/>
        <v>0</v>
      </c>
      <c r="AC84" s="823">
        <f t="shared" si="116"/>
        <v>0</v>
      </c>
      <c r="AD84" s="823">
        <f t="shared" si="116"/>
        <v>0</v>
      </c>
      <c r="AE84" s="823">
        <f>SUM(AE85:AE89)</f>
        <v>0</v>
      </c>
      <c r="AF84" s="823">
        <f>SUM(AF85:AF89)</f>
        <v>0</v>
      </c>
      <c r="AG84" s="823">
        <f>SUM(AG85:AG89)</f>
        <v>0</v>
      </c>
      <c r="AH84" s="823">
        <f>SUM(AH85:AH89)</f>
        <v>0</v>
      </c>
      <c r="AI84" s="823">
        <f t="shared" si="116"/>
        <v>0</v>
      </c>
      <c r="AJ84" s="823">
        <f t="shared" si="116"/>
        <v>0</v>
      </c>
      <c r="AK84" s="823">
        <f t="shared" si="116"/>
        <v>0</v>
      </c>
      <c r="AL84" s="823">
        <f t="shared" si="116"/>
        <v>0</v>
      </c>
      <c r="AM84" s="823">
        <f t="shared" si="116"/>
        <v>0</v>
      </c>
      <c r="AN84" s="823">
        <f t="shared" si="116"/>
        <v>0</v>
      </c>
      <c r="AO84" s="823">
        <f t="shared" si="116"/>
        <v>0</v>
      </c>
      <c r="AP84" s="823">
        <f t="shared" si="116"/>
        <v>0</v>
      </c>
      <c r="AQ84" s="823">
        <f t="shared" si="116"/>
        <v>0</v>
      </c>
      <c r="AR84" s="823">
        <f t="shared" si="116"/>
        <v>0</v>
      </c>
      <c r="AS84" s="823">
        <f t="shared" si="116"/>
        <v>0</v>
      </c>
      <c r="AT84" s="823">
        <f t="shared" si="116"/>
        <v>0</v>
      </c>
      <c r="AU84" s="823">
        <f t="shared" si="116"/>
        <v>0</v>
      </c>
      <c r="AV84" s="823">
        <f t="shared" si="116"/>
        <v>0</v>
      </c>
      <c r="AW84" s="823">
        <f t="shared" si="116"/>
        <v>0</v>
      </c>
      <c r="AX84" s="823">
        <f t="shared" si="116"/>
        <v>0</v>
      </c>
      <c r="AY84" s="823">
        <f t="shared" si="116"/>
        <v>0</v>
      </c>
      <c r="AZ84" s="823">
        <f t="shared" si="116"/>
        <v>0</v>
      </c>
      <c r="BA84" s="823">
        <f t="shared" si="116"/>
        <v>0</v>
      </c>
      <c r="BB84" s="823">
        <f t="shared" si="116"/>
        <v>0</v>
      </c>
      <c r="BC84" s="823">
        <f t="shared" si="116"/>
        <v>0</v>
      </c>
      <c r="BD84" s="823">
        <f t="shared" si="116"/>
        <v>0</v>
      </c>
      <c r="BE84" s="823">
        <f t="shared" si="116"/>
        <v>0</v>
      </c>
      <c r="BF84" s="823">
        <f t="shared" si="116"/>
        <v>0</v>
      </c>
      <c r="BG84" s="823">
        <f t="shared" si="116"/>
        <v>0</v>
      </c>
      <c r="BH84" s="823">
        <f t="shared" si="116"/>
        <v>0</v>
      </c>
      <c r="BI84" s="823">
        <f t="shared" si="116"/>
        <v>0</v>
      </c>
      <c r="BJ84" s="823">
        <f t="shared" si="116"/>
        <v>0</v>
      </c>
      <c r="BK84" s="823">
        <f t="shared" si="116"/>
        <v>0</v>
      </c>
      <c r="BL84" s="823">
        <f t="shared" si="116"/>
        <v>0</v>
      </c>
      <c r="BM84" s="823">
        <f t="shared" si="116"/>
        <v>0</v>
      </c>
      <c r="BN84" s="823">
        <f t="shared" si="116"/>
        <v>0</v>
      </c>
      <c r="BO84" s="823">
        <f>SUM(BO85:BO89)</f>
        <v>0</v>
      </c>
      <c r="BP84" s="823">
        <f>SUM(BP85:BP89)</f>
        <v>0</v>
      </c>
      <c r="BQ84" s="823">
        <f>SUM(BQ85:BQ89)</f>
        <v>0</v>
      </c>
      <c r="BR84" s="823">
        <f>SUM(BR85:BR89)</f>
        <v>0</v>
      </c>
      <c r="BS84" s="823">
        <f t="shared" si="116"/>
        <v>0</v>
      </c>
      <c r="BT84" s="823">
        <f t="shared" si="116"/>
        <v>0</v>
      </c>
      <c r="BU84" s="823">
        <f t="shared" si="116"/>
        <v>0</v>
      </c>
      <c r="BV84" s="823">
        <f t="shared" si="116"/>
        <v>0</v>
      </c>
      <c r="BW84" s="823">
        <f t="shared" si="116"/>
        <v>0</v>
      </c>
      <c r="BX84" s="823">
        <f t="shared" si="116"/>
        <v>0</v>
      </c>
      <c r="BY84" s="823">
        <f t="shared" si="116"/>
        <v>0</v>
      </c>
      <c r="BZ84" s="823">
        <f t="shared" si="116"/>
        <v>0</v>
      </c>
      <c r="CA84" s="823">
        <f>SUM(CA85:CA89)</f>
        <v>0</v>
      </c>
      <c r="CB84" s="823">
        <f>SUM(CB85:CB89)</f>
        <v>0</v>
      </c>
      <c r="CC84" s="823">
        <f>SUM(CC85:CC89)</f>
        <v>0</v>
      </c>
      <c r="CD84" s="823">
        <f>SUM(CD85:CD89)</f>
        <v>0</v>
      </c>
      <c r="CE84" s="823">
        <f t="shared" si="116"/>
        <v>0</v>
      </c>
      <c r="CF84" s="823">
        <f t="shared" si="116"/>
        <v>0</v>
      </c>
      <c r="CG84" s="823">
        <f t="shared" ref="CG84:ED84" si="117">SUM(CG85:CG89)</f>
        <v>0</v>
      </c>
      <c r="CH84" s="823">
        <f t="shared" si="117"/>
        <v>0</v>
      </c>
      <c r="CI84" s="823">
        <f t="shared" si="117"/>
        <v>0</v>
      </c>
      <c r="CJ84" s="823">
        <f t="shared" si="117"/>
        <v>0</v>
      </c>
      <c r="CK84" s="823">
        <f t="shared" si="117"/>
        <v>0</v>
      </c>
      <c r="CL84" s="823">
        <f t="shared" si="117"/>
        <v>0</v>
      </c>
      <c r="CM84" s="823">
        <f t="shared" si="117"/>
        <v>80000000</v>
      </c>
      <c r="CN84" s="823">
        <f t="shared" si="117"/>
        <v>80000000</v>
      </c>
      <c r="CO84" s="823">
        <f t="shared" si="117"/>
        <v>14545455</v>
      </c>
      <c r="CP84" s="823">
        <f t="shared" si="117"/>
        <v>14545455</v>
      </c>
      <c r="CQ84" s="823">
        <f t="shared" si="117"/>
        <v>0</v>
      </c>
      <c r="CR84" s="823">
        <f t="shared" si="117"/>
        <v>0</v>
      </c>
      <c r="CS84" s="823">
        <f t="shared" si="117"/>
        <v>0</v>
      </c>
      <c r="CT84" s="823">
        <f t="shared" si="117"/>
        <v>0</v>
      </c>
      <c r="CU84" s="823">
        <f t="shared" si="117"/>
        <v>0</v>
      </c>
      <c r="CV84" s="823">
        <f t="shared" si="117"/>
        <v>0</v>
      </c>
      <c r="CW84" s="823">
        <f t="shared" si="117"/>
        <v>0</v>
      </c>
      <c r="CX84" s="823">
        <f t="shared" si="117"/>
        <v>0</v>
      </c>
      <c r="CY84" s="823">
        <f t="shared" si="117"/>
        <v>0</v>
      </c>
      <c r="CZ84" s="823">
        <f t="shared" si="117"/>
        <v>0</v>
      </c>
      <c r="DA84" s="823">
        <f t="shared" si="117"/>
        <v>0</v>
      </c>
      <c r="DB84" s="823">
        <f t="shared" si="117"/>
        <v>0</v>
      </c>
      <c r="DC84" s="823">
        <f t="shared" si="117"/>
        <v>0</v>
      </c>
      <c r="DD84" s="823">
        <f t="shared" si="117"/>
        <v>0</v>
      </c>
      <c r="DE84" s="823">
        <f t="shared" si="117"/>
        <v>0</v>
      </c>
      <c r="DF84" s="823">
        <f t="shared" si="117"/>
        <v>0</v>
      </c>
      <c r="DG84" s="823">
        <f t="shared" si="117"/>
        <v>0</v>
      </c>
      <c r="DH84" s="823">
        <f t="shared" si="117"/>
        <v>0</v>
      </c>
      <c r="DI84" s="823">
        <f t="shared" si="117"/>
        <v>0</v>
      </c>
      <c r="DJ84" s="823">
        <f t="shared" si="117"/>
        <v>0</v>
      </c>
      <c r="DK84" s="823">
        <f t="shared" si="117"/>
        <v>0</v>
      </c>
      <c r="DL84" s="823">
        <f t="shared" si="117"/>
        <v>0</v>
      </c>
      <c r="DM84" s="823">
        <f t="shared" si="117"/>
        <v>0</v>
      </c>
      <c r="DN84" s="823">
        <f t="shared" si="117"/>
        <v>0</v>
      </c>
      <c r="DO84" s="823">
        <f t="shared" si="117"/>
        <v>0</v>
      </c>
      <c r="DP84" s="823">
        <f t="shared" si="117"/>
        <v>0</v>
      </c>
      <c r="DQ84" s="823">
        <f t="shared" si="117"/>
        <v>0</v>
      </c>
      <c r="DR84" s="823">
        <f t="shared" si="117"/>
        <v>0</v>
      </c>
      <c r="DS84" s="823">
        <f t="shared" si="117"/>
        <v>0</v>
      </c>
      <c r="DT84" s="823">
        <f t="shared" si="117"/>
        <v>0</v>
      </c>
      <c r="DU84" s="823">
        <f t="shared" si="117"/>
        <v>0</v>
      </c>
      <c r="DV84" s="823">
        <f t="shared" si="117"/>
        <v>0</v>
      </c>
      <c r="DW84" s="823">
        <f t="shared" si="117"/>
        <v>0</v>
      </c>
      <c r="DX84" s="823">
        <f t="shared" si="117"/>
        <v>0</v>
      </c>
      <c r="DY84" s="823">
        <f t="shared" si="117"/>
        <v>0</v>
      </c>
      <c r="DZ84" s="823">
        <f t="shared" si="117"/>
        <v>0</v>
      </c>
      <c r="EA84" s="823">
        <f t="shared" si="117"/>
        <v>0</v>
      </c>
      <c r="EB84" s="823">
        <f t="shared" si="117"/>
        <v>0</v>
      </c>
      <c r="EC84" s="823">
        <f t="shared" si="117"/>
        <v>0</v>
      </c>
      <c r="ED84" s="823">
        <f t="shared" si="117"/>
        <v>0</v>
      </c>
      <c r="EE84" s="857">
        <f t="shared" ref="EE84:EE98" si="118">+C84+G84+K84+O84+S84+W84+AA84+AE84+AI84+AM84+AQ84+AU84+AY84+BC84+BG84+BK84+BO84+BS84+BW84+CA84+CE84+CI84+CM84+CQ84+CU84+CY84+DC84+DG84+DK84+DO84+EA84+DS84+DW84</f>
        <v>80000000</v>
      </c>
      <c r="EF84" s="857">
        <f t="shared" ref="EF84:EF98" si="119">+D84+H84+L84+P84+T84+X84+AB84+AF84+AJ84+AN84+AR84+AV84+AZ84+BD84+BH84+BL84+BP84+BT84+BX84+CB84+CF84+CJ84+CN84+CR84+CV84+CZ84+DD84+DH84+DL84+DP84+EB84+DS84+DT84+DX84</f>
        <v>80000000</v>
      </c>
      <c r="EG84" s="857">
        <f t="shared" ref="EG84:EH98" si="120">+E84+I84+M84+Q84+U84+Y84+AC84+AG84+AK84+AO84+AS84+AW84+BA84+BE84+BI84+BM84+BQ84+BU84+BY84+CC84+CG84+CK84+CO84+CS84+CW84+DA84+DE84+DI84+DM84+DQ84+EC84+DU84+DY84</f>
        <v>14545455</v>
      </c>
      <c r="EH84" s="857">
        <f t="shared" si="120"/>
        <v>14545455</v>
      </c>
      <c r="EI84" s="824">
        <f t="shared" si="85"/>
        <v>0</v>
      </c>
      <c r="EK84" s="813"/>
    </row>
    <row r="85" spans="1:141" ht="27" customHeight="1" thickTop="1" thickBot="1" x14ac:dyDescent="0.3">
      <c r="A85" s="825" t="s">
        <v>2036</v>
      </c>
      <c r="B85" s="859">
        <f>+'[5]Evidencias ejec SEM I-2022'!AJ95</f>
        <v>0</v>
      </c>
      <c r="C85" s="827"/>
      <c r="D85" s="827"/>
      <c r="E85" s="827"/>
      <c r="F85" s="827"/>
      <c r="G85" s="827"/>
      <c r="H85" s="827"/>
      <c r="I85" s="827"/>
      <c r="J85" s="827"/>
      <c r="K85" s="827"/>
      <c r="L85" s="827"/>
      <c r="M85" s="827"/>
      <c r="N85" s="827"/>
      <c r="O85" s="828"/>
      <c r="P85" s="828"/>
      <c r="Q85" s="827"/>
      <c r="R85" s="828"/>
      <c r="S85" s="828"/>
      <c r="T85" s="828"/>
      <c r="U85" s="827"/>
      <c r="V85" s="827"/>
      <c r="W85" s="827"/>
      <c r="X85" s="827"/>
      <c r="Y85" s="827"/>
      <c r="Z85" s="827"/>
      <c r="AA85" s="827"/>
      <c r="AB85" s="827"/>
      <c r="AC85" s="827"/>
      <c r="AD85" s="827"/>
      <c r="AE85" s="827"/>
      <c r="AF85" s="827"/>
      <c r="AG85" s="827"/>
      <c r="AH85" s="827"/>
      <c r="AI85" s="827"/>
      <c r="AJ85" s="827"/>
      <c r="AK85" s="827"/>
      <c r="AL85" s="827"/>
      <c r="AM85" s="827"/>
      <c r="AN85" s="827"/>
      <c r="AO85" s="827"/>
      <c r="AP85" s="827"/>
      <c r="AQ85" s="827"/>
      <c r="AR85" s="827"/>
      <c r="AS85" s="827"/>
      <c r="AT85" s="827"/>
      <c r="AU85" s="827"/>
      <c r="AV85" s="827"/>
      <c r="AW85" s="827"/>
      <c r="AX85" s="827"/>
      <c r="AY85" s="827"/>
      <c r="AZ85" s="827"/>
      <c r="BA85" s="827"/>
      <c r="BB85" s="827"/>
      <c r="BC85" s="827"/>
      <c r="BD85" s="827"/>
      <c r="BE85" s="827"/>
      <c r="BF85" s="827"/>
      <c r="BG85" s="827"/>
      <c r="BH85" s="827"/>
      <c r="BI85" s="827"/>
      <c r="BJ85" s="827"/>
      <c r="BK85" s="827"/>
      <c r="BL85" s="827"/>
      <c r="BM85" s="827"/>
      <c r="BN85" s="827"/>
      <c r="BO85" s="827"/>
      <c r="BP85" s="827"/>
      <c r="BQ85" s="827"/>
      <c r="BR85" s="827"/>
      <c r="BS85" s="827"/>
      <c r="BT85" s="827"/>
      <c r="BU85" s="827"/>
      <c r="BV85" s="827"/>
      <c r="BW85" s="827"/>
      <c r="BX85" s="827"/>
      <c r="BY85" s="827"/>
      <c r="BZ85" s="827"/>
      <c r="CA85" s="827"/>
      <c r="CB85" s="827"/>
      <c r="CC85" s="827"/>
      <c r="CD85" s="827"/>
      <c r="CE85" s="827"/>
      <c r="CF85" s="827"/>
      <c r="CG85" s="827"/>
      <c r="CH85" s="827"/>
      <c r="CI85" s="827"/>
      <c r="CJ85" s="827"/>
      <c r="CK85" s="827"/>
      <c r="CL85" s="827"/>
      <c r="CM85" s="844"/>
      <c r="CN85" s="827"/>
      <c r="CO85" s="827"/>
      <c r="CP85" s="827"/>
      <c r="CQ85" s="844"/>
      <c r="CR85" s="827"/>
      <c r="CS85" s="827"/>
      <c r="CT85" s="827"/>
      <c r="CU85" s="844"/>
      <c r="CV85" s="827"/>
      <c r="CW85" s="827"/>
      <c r="CX85" s="827"/>
      <c r="CY85" s="844"/>
      <c r="CZ85" s="827"/>
      <c r="DA85" s="827"/>
      <c r="DB85" s="827"/>
      <c r="DC85" s="844"/>
      <c r="DD85" s="827"/>
      <c r="DE85" s="827"/>
      <c r="DF85" s="827"/>
      <c r="DG85" s="844"/>
      <c r="DH85" s="827"/>
      <c r="DI85" s="827"/>
      <c r="DJ85" s="827"/>
      <c r="DK85" s="844"/>
      <c r="DL85" s="827"/>
      <c r="DM85" s="827"/>
      <c r="DN85" s="827"/>
      <c r="DO85" s="844"/>
      <c r="DP85" s="827"/>
      <c r="DQ85" s="827"/>
      <c r="DR85" s="827"/>
      <c r="DS85" s="844"/>
      <c r="DT85" s="827"/>
      <c r="DU85" s="827"/>
      <c r="DV85" s="827"/>
      <c r="DW85" s="844"/>
      <c r="DX85" s="827"/>
      <c r="DY85" s="827"/>
      <c r="DZ85" s="827"/>
      <c r="EA85" s="828"/>
      <c r="EB85" s="828"/>
      <c r="EC85" s="827"/>
      <c r="ED85" s="827"/>
      <c r="EE85" s="858">
        <f t="shared" si="118"/>
        <v>0</v>
      </c>
      <c r="EF85" s="858">
        <f t="shared" si="119"/>
        <v>0</v>
      </c>
      <c r="EG85" s="858">
        <f t="shared" si="120"/>
        <v>0</v>
      </c>
      <c r="EH85" s="858">
        <f t="shared" si="120"/>
        <v>0</v>
      </c>
      <c r="EI85" s="725">
        <f t="shared" si="85"/>
        <v>0</v>
      </c>
      <c r="EK85" s="813"/>
    </row>
    <row r="86" spans="1:141" ht="27" customHeight="1" thickTop="1" thickBot="1" x14ac:dyDescent="0.3">
      <c r="A86" s="825" t="s">
        <v>2037</v>
      </c>
      <c r="B86" s="859" t="str">
        <f>+'[5]Evidencias ejec SEM I-2022'!AJ96</f>
        <v>$ 0</v>
      </c>
      <c r="C86" s="827"/>
      <c r="D86" s="827"/>
      <c r="E86" s="827"/>
      <c r="F86" s="827"/>
      <c r="G86" s="827"/>
      <c r="H86" s="827"/>
      <c r="I86" s="827"/>
      <c r="J86" s="827"/>
      <c r="K86" s="827"/>
      <c r="L86" s="827"/>
      <c r="M86" s="827"/>
      <c r="N86" s="827"/>
      <c r="O86" s="828"/>
      <c r="P86" s="828"/>
      <c r="Q86" s="827"/>
      <c r="R86" s="828"/>
      <c r="S86" s="828"/>
      <c r="T86" s="828"/>
      <c r="U86" s="827"/>
      <c r="V86" s="827"/>
      <c r="W86" s="827"/>
      <c r="X86" s="827"/>
      <c r="Y86" s="827"/>
      <c r="Z86" s="827"/>
      <c r="AA86" s="827"/>
      <c r="AB86" s="827"/>
      <c r="AC86" s="827"/>
      <c r="AD86" s="827"/>
      <c r="AE86" s="827"/>
      <c r="AF86" s="827"/>
      <c r="AG86" s="827"/>
      <c r="AH86" s="827"/>
      <c r="AI86" s="827"/>
      <c r="AJ86" s="827"/>
      <c r="AK86" s="827"/>
      <c r="AL86" s="827"/>
      <c r="AM86" s="827"/>
      <c r="AN86" s="827"/>
      <c r="AO86" s="827"/>
      <c r="AP86" s="827"/>
      <c r="AQ86" s="827"/>
      <c r="AR86" s="827"/>
      <c r="AS86" s="827"/>
      <c r="AT86" s="827"/>
      <c r="AU86" s="827"/>
      <c r="AV86" s="827"/>
      <c r="AW86" s="827"/>
      <c r="AX86" s="827"/>
      <c r="AY86" s="827"/>
      <c r="AZ86" s="827"/>
      <c r="BA86" s="827"/>
      <c r="BB86" s="827"/>
      <c r="BC86" s="827"/>
      <c r="BD86" s="827"/>
      <c r="BE86" s="827"/>
      <c r="BF86" s="827"/>
      <c r="BG86" s="827"/>
      <c r="BH86" s="827"/>
      <c r="BI86" s="827"/>
      <c r="BJ86" s="827"/>
      <c r="BK86" s="827"/>
      <c r="BL86" s="827"/>
      <c r="BM86" s="827"/>
      <c r="BN86" s="827"/>
      <c r="BO86" s="827"/>
      <c r="BP86" s="827"/>
      <c r="BQ86" s="827"/>
      <c r="BR86" s="827"/>
      <c r="BS86" s="827"/>
      <c r="BT86" s="827"/>
      <c r="BU86" s="827"/>
      <c r="BV86" s="827"/>
      <c r="BW86" s="827"/>
      <c r="BX86" s="827"/>
      <c r="BY86" s="827"/>
      <c r="BZ86" s="827"/>
      <c r="CA86" s="827"/>
      <c r="CB86" s="827"/>
      <c r="CC86" s="827"/>
      <c r="CD86" s="827"/>
      <c r="CE86" s="827"/>
      <c r="CF86" s="827"/>
      <c r="CG86" s="827"/>
      <c r="CH86" s="827"/>
      <c r="CI86" s="827"/>
      <c r="CJ86" s="827"/>
      <c r="CK86" s="827"/>
      <c r="CL86" s="827"/>
      <c r="CM86" s="844"/>
      <c r="CN86" s="827"/>
      <c r="CO86" s="827"/>
      <c r="CP86" s="827"/>
      <c r="CQ86" s="844"/>
      <c r="CR86" s="827"/>
      <c r="CS86" s="827"/>
      <c r="CT86" s="827"/>
      <c r="CU86" s="844"/>
      <c r="CV86" s="827"/>
      <c r="CW86" s="827"/>
      <c r="CX86" s="827"/>
      <c r="CY86" s="844"/>
      <c r="CZ86" s="827"/>
      <c r="DA86" s="827"/>
      <c r="DB86" s="827"/>
      <c r="DC86" s="844"/>
      <c r="DD86" s="827"/>
      <c r="DE86" s="827"/>
      <c r="DF86" s="827"/>
      <c r="DG86" s="844"/>
      <c r="DH86" s="827"/>
      <c r="DI86" s="827"/>
      <c r="DJ86" s="827"/>
      <c r="DK86" s="844"/>
      <c r="DL86" s="827"/>
      <c r="DM86" s="827"/>
      <c r="DN86" s="827"/>
      <c r="DO86" s="844"/>
      <c r="DP86" s="827"/>
      <c r="DQ86" s="827"/>
      <c r="DR86" s="827"/>
      <c r="DS86" s="844"/>
      <c r="DT86" s="827"/>
      <c r="DU86" s="827"/>
      <c r="DV86" s="827"/>
      <c r="DW86" s="844"/>
      <c r="DX86" s="827"/>
      <c r="DY86" s="827"/>
      <c r="DZ86" s="827"/>
      <c r="EA86" s="828"/>
      <c r="EB86" s="828"/>
      <c r="EC86" s="827"/>
      <c r="ED86" s="827"/>
      <c r="EE86" s="858">
        <f t="shared" si="118"/>
        <v>0</v>
      </c>
      <c r="EF86" s="858">
        <f t="shared" si="119"/>
        <v>0</v>
      </c>
      <c r="EG86" s="858">
        <f t="shared" si="120"/>
        <v>0</v>
      </c>
      <c r="EH86" s="858">
        <f t="shared" si="120"/>
        <v>0</v>
      </c>
      <c r="EI86" s="725">
        <f t="shared" si="85"/>
        <v>0</v>
      </c>
      <c r="EK86" s="813"/>
    </row>
    <row r="87" spans="1:141" ht="27" thickTop="1" thickBot="1" x14ac:dyDescent="0.3">
      <c r="A87" s="825" t="s">
        <v>1613</v>
      </c>
      <c r="B87" s="860">
        <f>+'[5]Evidencias ejec SEM I-2022'!AJ97</f>
        <v>80000000</v>
      </c>
      <c r="C87" s="827"/>
      <c r="D87" s="827"/>
      <c r="E87" s="827"/>
      <c r="F87" s="827"/>
      <c r="G87" s="827"/>
      <c r="H87" s="827"/>
      <c r="I87" s="827"/>
      <c r="J87" s="827"/>
      <c r="K87" s="827"/>
      <c r="L87" s="827"/>
      <c r="M87" s="827"/>
      <c r="N87" s="827"/>
      <c r="O87" s="828"/>
      <c r="P87" s="828"/>
      <c r="Q87" s="827"/>
      <c r="R87" s="828"/>
      <c r="S87" s="828"/>
      <c r="T87" s="828"/>
      <c r="U87" s="827"/>
      <c r="V87" s="827"/>
      <c r="W87" s="827"/>
      <c r="X87" s="827"/>
      <c r="Y87" s="827"/>
      <c r="Z87" s="827"/>
      <c r="AA87" s="827"/>
      <c r="AB87" s="827"/>
      <c r="AC87" s="827"/>
      <c r="AD87" s="827"/>
      <c r="AE87" s="827"/>
      <c r="AF87" s="827"/>
      <c r="AG87" s="827"/>
      <c r="AH87" s="827"/>
      <c r="AI87" s="827"/>
      <c r="AJ87" s="827"/>
      <c r="AK87" s="827"/>
      <c r="AL87" s="827"/>
      <c r="AM87" s="827"/>
      <c r="AN87" s="827"/>
      <c r="AO87" s="827"/>
      <c r="AP87" s="827"/>
      <c r="AQ87" s="827"/>
      <c r="AR87" s="827"/>
      <c r="AS87" s="827"/>
      <c r="AT87" s="827"/>
      <c r="AU87" s="827"/>
      <c r="AV87" s="827"/>
      <c r="AW87" s="827"/>
      <c r="AX87" s="827"/>
      <c r="AY87" s="827"/>
      <c r="AZ87" s="827"/>
      <c r="BA87" s="827"/>
      <c r="BB87" s="827"/>
      <c r="BC87" s="827"/>
      <c r="BD87" s="827"/>
      <c r="BE87" s="827"/>
      <c r="BF87" s="827"/>
      <c r="BG87" s="827"/>
      <c r="BH87" s="827"/>
      <c r="BI87" s="827"/>
      <c r="BJ87" s="827"/>
      <c r="BK87" s="827"/>
      <c r="BL87" s="827"/>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98">
        <v>80000000</v>
      </c>
      <c r="CN87" s="837">
        <v>80000000</v>
      </c>
      <c r="CO87" s="837">
        <v>14545455</v>
      </c>
      <c r="CP87" s="837">
        <v>14545455</v>
      </c>
      <c r="CQ87" s="836"/>
      <c r="CR87" s="837"/>
      <c r="CS87" s="837"/>
      <c r="CT87" s="837"/>
      <c r="CU87" s="836"/>
      <c r="CV87" s="837"/>
      <c r="CW87" s="837"/>
      <c r="CX87" s="837"/>
      <c r="CY87" s="836"/>
      <c r="CZ87" s="837"/>
      <c r="DA87" s="837"/>
      <c r="DB87" s="837"/>
      <c r="DC87" s="836"/>
      <c r="DD87" s="837"/>
      <c r="DE87" s="837"/>
      <c r="DF87" s="837"/>
      <c r="DG87" s="836"/>
      <c r="DH87" s="837"/>
      <c r="DI87" s="837"/>
      <c r="DJ87" s="837"/>
      <c r="DK87" s="836"/>
      <c r="DL87" s="837"/>
      <c r="DM87" s="837"/>
      <c r="DN87" s="837"/>
      <c r="DO87" s="837"/>
      <c r="DP87" s="837">
        <v>0</v>
      </c>
      <c r="DQ87" s="837">
        <v>0</v>
      </c>
      <c r="DR87" s="837">
        <v>0</v>
      </c>
      <c r="DS87" s="844"/>
      <c r="DT87" s="837">
        <v>0</v>
      </c>
      <c r="DU87" s="837">
        <v>0</v>
      </c>
      <c r="DV87" s="837">
        <v>0</v>
      </c>
      <c r="DW87" s="844"/>
      <c r="DX87" s="837">
        <v>0</v>
      </c>
      <c r="DY87" s="837">
        <v>0</v>
      </c>
      <c r="DZ87" s="837">
        <v>0</v>
      </c>
      <c r="EA87" s="828"/>
      <c r="EB87" s="828"/>
      <c r="EC87" s="827"/>
      <c r="ED87" s="827"/>
      <c r="EE87" s="858">
        <f t="shared" si="118"/>
        <v>80000000</v>
      </c>
      <c r="EF87" s="858">
        <f t="shared" si="119"/>
        <v>80000000</v>
      </c>
      <c r="EG87" s="858">
        <f t="shared" si="120"/>
        <v>14545455</v>
      </c>
      <c r="EH87" s="858">
        <f t="shared" si="120"/>
        <v>14545455</v>
      </c>
      <c r="EI87" s="725">
        <f t="shared" si="85"/>
        <v>0</v>
      </c>
      <c r="EK87" s="813"/>
    </row>
    <row r="88" spans="1:141" ht="16.5" customHeight="1" thickTop="1" thickBot="1" x14ac:dyDescent="0.3">
      <c r="A88" s="825" t="s">
        <v>1614</v>
      </c>
      <c r="B88" s="859" t="str">
        <f>+'[5]Evidencias ejec SEM I-2022'!AJ98</f>
        <v>$ 0</v>
      </c>
      <c r="C88" s="827"/>
      <c r="D88" s="827"/>
      <c r="E88" s="827"/>
      <c r="F88" s="827"/>
      <c r="G88" s="827"/>
      <c r="H88" s="827"/>
      <c r="I88" s="827"/>
      <c r="J88" s="827"/>
      <c r="K88" s="827"/>
      <c r="L88" s="827"/>
      <c r="M88" s="827"/>
      <c r="N88" s="827"/>
      <c r="O88" s="828"/>
      <c r="P88" s="828"/>
      <c r="Q88" s="827"/>
      <c r="R88" s="828"/>
      <c r="S88" s="828"/>
      <c r="T88" s="828"/>
      <c r="U88" s="827"/>
      <c r="V88" s="827"/>
      <c r="W88" s="827"/>
      <c r="X88" s="827"/>
      <c r="Y88" s="827"/>
      <c r="Z88" s="827"/>
      <c r="AA88" s="827"/>
      <c r="AB88" s="827"/>
      <c r="AC88" s="827"/>
      <c r="AD88" s="827"/>
      <c r="AE88" s="827"/>
      <c r="AF88" s="827"/>
      <c r="AG88" s="827"/>
      <c r="AH88" s="827"/>
      <c r="AI88" s="827"/>
      <c r="AJ88" s="827"/>
      <c r="AK88" s="827"/>
      <c r="AL88" s="827"/>
      <c r="AM88" s="827"/>
      <c r="AN88" s="827"/>
      <c r="AO88" s="827"/>
      <c r="AP88" s="827"/>
      <c r="AQ88" s="827"/>
      <c r="AR88" s="827"/>
      <c r="AS88" s="827"/>
      <c r="AT88" s="827"/>
      <c r="AU88" s="827"/>
      <c r="AV88" s="827"/>
      <c r="AW88" s="827"/>
      <c r="AX88" s="827"/>
      <c r="AY88" s="827"/>
      <c r="AZ88" s="827"/>
      <c r="BA88" s="827"/>
      <c r="BB88" s="827"/>
      <c r="BC88" s="827"/>
      <c r="BD88" s="827"/>
      <c r="BE88" s="827"/>
      <c r="BF88" s="827"/>
      <c r="BG88" s="827"/>
      <c r="BH88" s="827"/>
      <c r="BI88" s="827"/>
      <c r="BJ88" s="827"/>
      <c r="BK88" s="827"/>
      <c r="BL88" s="827"/>
      <c r="BM88" s="827"/>
      <c r="BN88" s="827"/>
      <c r="BO88" s="827"/>
      <c r="BP88" s="827"/>
      <c r="BQ88" s="827"/>
      <c r="BR88" s="827"/>
      <c r="BS88" s="827"/>
      <c r="BT88" s="827"/>
      <c r="BU88" s="827"/>
      <c r="BV88" s="827"/>
      <c r="BW88" s="827"/>
      <c r="BX88" s="827"/>
      <c r="BY88" s="827"/>
      <c r="BZ88" s="827"/>
      <c r="CA88" s="827"/>
      <c r="CB88" s="827"/>
      <c r="CC88" s="827"/>
      <c r="CD88" s="827"/>
      <c r="CE88" s="827"/>
      <c r="CF88" s="827"/>
      <c r="CG88" s="827"/>
      <c r="CH88" s="827"/>
      <c r="CI88" s="827"/>
      <c r="CJ88" s="827"/>
      <c r="CK88" s="827"/>
      <c r="CL88" s="827"/>
      <c r="CM88" s="844"/>
      <c r="CN88" s="827"/>
      <c r="CO88" s="827"/>
      <c r="CP88" s="827"/>
      <c r="CQ88" s="844"/>
      <c r="CR88" s="827"/>
      <c r="CS88" s="827"/>
      <c r="CT88" s="827"/>
      <c r="CU88" s="844"/>
      <c r="CV88" s="827"/>
      <c r="CW88" s="827"/>
      <c r="CX88" s="827"/>
      <c r="CY88" s="844"/>
      <c r="CZ88" s="827"/>
      <c r="DA88" s="827"/>
      <c r="DB88" s="827"/>
      <c r="DC88" s="844"/>
      <c r="DD88" s="827"/>
      <c r="DE88" s="827"/>
      <c r="DF88" s="827"/>
      <c r="DG88" s="844"/>
      <c r="DH88" s="827"/>
      <c r="DI88" s="827"/>
      <c r="DJ88" s="827"/>
      <c r="DK88" s="844"/>
      <c r="DL88" s="827"/>
      <c r="DM88" s="827"/>
      <c r="DN88" s="827"/>
      <c r="DO88" s="844"/>
      <c r="DP88" s="827"/>
      <c r="DQ88" s="827"/>
      <c r="DR88" s="827"/>
      <c r="DS88" s="844"/>
      <c r="DT88" s="827"/>
      <c r="DU88" s="827"/>
      <c r="DV88" s="827"/>
      <c r="DW88" s="844"/>
      <c r="DX88" s="827"/>
      <c r="DY88" s="827"/>
      <c r="DZ88" s="827"/>
      <c r="EA88" s="828"/>
      <c r="EB88" s="828"/>
      <c r="EC88" s="827"/>
      <c r="ED88" s="827"/>
      <c r="EE88" s="858">
        <f t="shared" si="118"/>
        <v>0</v>
      </c>
      <c r="EF88" s="858">
        <f t="shared" si="119"/>
        <v>0</v>
      </c>
      <c r="EG88" s="858">
        <f t="shared" si="120"/>
        <v>0</v>
      </c>
      <c r="EH88" s="858">
        <f t="shared" si="120"/>
        <v>0</v>
      </c>
      <c r="EI88" s="725">
        <f t="shared" si="85"/>
        <v>0</v>
      </c>
      <c r="EK88" s="813"/>
    </row>
    <row r="89" spans="1:141" ht="16.5" customHeight="1" thickTop="1" thickBot="1" x14ac:dyDescent="0.3">
      <c r="A89" s="825" t="s">
        <v>1615</v>
      </c>
      <c r="B89" s="859" t="str">
        <f>+'[5]Evidencias ejec SEM I-2022'!AJ99</f>
        <v>$ 0</v>
      </c>
      <c r="C89" s="827"/>
      <c r="D89" s="827"/>
      <c r="E89" s="827"/>
      <c r="F89" s="827"/>
      <c r="G89" s="827"/>
      <c r="H89" s="827"/>
      <c r="I89" s="827"/>
      <c r="J89" s="827"/>
      <c r="K89" s="827"/>
      <c r="L89" s="827"/>
      <c r="M89" s="827"/>
      <c r="N89" s="827"/>
      <c r="O89" s="828"/>
      <c r="P89" s="828"/>
      <c r="Q89" s="827"/>
      <c r="R89" s="828"/>
      <c r="S89" s="828"/>
      <c r="T89" s="828"/>
      <c r="U89" s="827"/>
      <c r="V89" s="827"/>
      <c r="W89" s="827"/>
      <c r="X89" s="827"/>
      <c r="Y89" s="827"/>
      <c r="Z89" s="827"/>
      <c r="AA89" s="827"/>
      <c r="AB89" s="827"/>
      <c r="AC89" s="827"/>
      <c r="AD89" s="827"/>
      <c r="AE89" s="827"/>
      <c r="AF89" s="827"/>
      <c r="AG89" s="827"/>
      <c r="AH89" s="827"/>
      <c r="AI89" s="827"/>
      <c r="AJ89" s="827"/>
      <c r="AK89" s="827"/>
      <c r="AL89" s="827"/>
      <c r="AM89" s="827"/>
      <c r="AN89" s="827"/>
      <c r="AO89" s="827"/>
      <c r="AP89" s="827"/>
      <c r="AQ89" s="827"/>
      <c r="AR89" s="827"/>
      <c r="AS89" s="827"/>
      <c r="AT89" s="827"/>
      <c r="AU89" s="827"/>
      <c r="AV89" s="827"/>
      <c r="AW89" s="827"/>
      <c r="AX89" s="827"/>
      <c r="AY89" s="827"/>
      <c r="AZ89" s="827"/>
      <c r="BA89" s="827"/>
      <c r="BB89" s="827"/>
      <c r="BC89" s="827"/>
      <c r="BD89" s="827"/>
      <c r="BE89" s="827"/>
      <c r="BF89" s="827"/>
      <c r="BG89" s="827"/>
      <c r="BH89" s="827"/>
      <c r="BI89" s="827"/>
      <c r="BJ89" s="827"/>
      <c r="BK89" s="827"/>
      <c r="BL89" s="827"/>
      <c r="BM89" s="827"/>
      <c r="BN89" s="827"/>
      <c r="BO89" s="827"/>
      <c r="BP89" s="827"/>
      <c r="BQ89" s="827"/>
      <c r="BR89" s="827"/>
      <c r="BS89" s="827"/>
      <c r="BT89" s="827"/>
      <c r="BU89" s="827"/>
      <c r="BV89" s="827"/>
      <c r="BW89" s="827"/>
      <c r="BX89" s="827"/>
      <c r="BY89" s="827"/>
      <c r="BZ89" s="827"/>
      <c r="CA89" s="827"/>
      <c r="CB89" s="827"/>
      <c r="CC89" s="827"/>
      <c r="CD89" s="827"/>
      <c r="CE89" s="827"/>
      <c r="CF89" s="827"/>
      <c r="CG89" s="827"/>
      <c r="CH89" s="827"/>
      <c r="CI89" s="827"/>
      <c r="CJ89" s="827"/>
      <c r="CK89" s="827"/>
      <c r="CL89" s="827"/>
      <c r="CM89" s="844"/>
      <c r="CN89" s="827"/>
      <c r="CO89" s="827"/>
      <c r="CP89" s="827"/>
      <c r="CQ89" s="844"/>
      <c r="CR89" s="827"/>
      <c r="CS89" s="827"/>
      <c r="CT89" s="827"/>
      <c r="CU89" s="844"/>
      <c r="CV89" s="827"/>
      <c r="CW89" s="827"/>
      <c r="CX89" s="827"/>
      <c r="CY89" s="844"/>
      <c r="CZ89" s="827"/>
      <c r="DA89" s="827"/>
      <c r="DB89" s="827"/>
      <c r="DC89" s="844"/>
      <c r="DD89" s="827"/>
      <c r="DE89" s="827"/>
      <c r="DF89" s="827"/>
      <c r="DG89" s="844"/>
      <c r="DH89" s="827"/>
      <c r="DI89" s="827"/>
      <c r="DJ89" s="827"/>
      <c r="DK89" s="844"/>
      <c r="DL89" s="827"/>
      <c r="DM89" s="827"/>
      <c r="DN89" s="827"/>
      <c r="DO89" s="844"/>
      <c r="DP89" s="827"/>
      <c r="DQ89" s="827"/>
      <c r="DR89" s="827"/>
      <c r="DS89" s="844"/>
      <c r="DT89" s="827"/>
      <c r="DU89" s="827"/>
      <c r="DV89" s="827"/>
      <c r="DW89" s="844"/>
      <c r="DX89" s="827"/>
      <c r="DY89" s="827"/>
      <c r="DZ89" s="827"/>
      <c r="EA89" s="828"/>
      <c r="EB89" s="828"/>
      <c r="EC89" s="827"/>
      <c r="ED89" s="827"/>
      <c r="EE89" s="858">
        <f t="shared" si="118"/>
        <v>0</v>
      </c>
      <c r="EF89" s="858">
        <f t="shared" si="119"/>
        <v>0</v>
      </c>
      <c r="EG89" s="858">
        <f t="shared" si="120"/>
        <v>0</v>
      </c>
      <c r="EH89" s="858">
        <f t="shared" si="120"/>
        <v>0</v>
      </c>
      <c r="EI89" s="725">
        <f t="shared" si="85"/>
        <v>0</v>
      </c>
      <c r="EK89" s="813"/>
    </row>
    <row r="90" spans="1:141" ht="16.5" thickTop="1" thickBot="1" x14ac:dyDescent="0.3">
      <c r="A90" s="822" t="s">
        <v>1616</v>
      </c>
      <c r="B90" s="823">
        <f t="shared" ref="B90:BM90" si="121">SUM(B91:B91)</f>
        <v>525000000</v>
      </c>
      <c r="C90" s="823">
        <f t="shared" si="121"/>
        <v>0</v>
      </c>
      <c r="D90" s="823">
        <f t="shared" si="121"/>
        <v>0</v>
      </c>
      <c r="E90" s="823">
        <f t="shared" si="121"/>
        <v>0</v>
      </c>
      <c r="F90" s="823">
        <f t="shared" si="121"/>
        <v>0</v>
      </c>
      <c r="G90" s="823">
        <f t="shared" si="121"/>
        <v>0</v>
      </c>
      <c r="H90" s="823">
        <f t="shared" si="121"/>
        <v>0</v>
      </c>
      <c r="I90" s="823">
        <f t="shared" si="121"/>
        <v>0</v>
      </c>
      <c r="J90" s="823">
        <f t="shared" si="121"/>
        <v>0</v>
      </c>
      <c r="K90" s="823">
        <f t="shared" si="121"/>
        <v>0</v>
      </c>
      <c r="L90" s="823">
        <f t="shared" si="121"/>
        <v>0</v>
      </c>
      <c r="M90" s="823">
        <f t="shared" si="121"/>
        <v>0</v>
      </c>
      <c r="N90" s="823">
        <f t="shared" si="121"/>
        <v>0</v>
      </c>
      <c r="O90" s="823">
        <f t="shared" si="121"/>
        <v>0</v>
      </c>
      <c r="P90" s="823">
        <f t="shared" si="121"/>
        <v>0</v>
      </c>
      <c r="Q90" s="823">
        <f t="shared" si="121"/>
        <v>0</v>
      </c>
      <c r="R90" s="823">
        <f t="shared" si="121"/>
        <v>0</v>
      </c>
      <c r="S90" s="823">
        <f t="shared" si="121"/>
        <v>0</v>
      </c>
      <c r="T90" s="823">
        <f t="shared" si="121"/>
        <v>0</v>
      </c>
      <c r="U90" s="823">
        <f t="shared" si="121"/>
        <v>0</v>
      </c>
      <c r="V90" s="823">
        <f t="shared" si="121"/>
        <v>0</v>
      </c>
      <c r="W90" s="823">
        <f t="shared" si="121"/>
        <v>0</v>
      </c>
      <c r="X90" s="823">
        <f t="shared" si="121"/>
        <v>0</v>
      </c>
      <c r="Y90" s="823">
        <f t="shared" si="121"/>
        <v>0</v>
      </c>
      <c r="Z90" s="823">
        <f t="shared" si="121"/>
        <v>0</v>
      </c>
      <c r="AA90" s="823">
        <f t="shared" si="121"/>
        <v>0</v>
      </c>
      <c r="AB90" s="823">
        <f t="shared" si="121"/>
        <v>0</v>
      </c>
      <c r="AC90" s="823">
        <f t="shared" si="121"/>
        <v>0</v>
      </c>
      <c r="AD90" s="823">
        <f t="shared" si="121"/>
        <v>0</v>
      </c>
      <c r="AE90" s="823">
        <f t="shared" si="121"/>
        <v>0</v>
      </c>
      <c r="AF90" s="823">
        <f t="shared" si="121"/>
        <v>0</v>
      </c>
      <c r="AG90" s="823">
        <f t="shared" si="121"/>
        <v>0</v>
      </c>
      <c r="AH90" s="823">
        <f t="shared" si="121"/>
        <v>0</v>
      </c>
      <c r="AI90" s="823">
        <f t="shared" si="121"/>
        <v>0</v>
      </c>
      <c r="AJ90" s="823">
        <f t="shared" si="121"/>
        <v>0</v>
      </c>
      <c r="AK90" s="823">
        <f t="shared" si="121"/>
        <v>0</v>
      </c>
      <c r="AL90" s="823">
        <f t="shared" si="121"/>
        <v>0</v>
      </c>
      <c r="AM90" s="823">
        <f t="shared" si="121"/>
        <v>0</v>
      </c>
      <c r="AN90" s="823">
        <f t="shared" si="121"/>
        <v>0</v>
      </c>
      <c r="AO90" s="823">
        <f t="shared" si="121"/>
        <v>0</v>
      </c>
      <c r="AP90" s="823">
        <f t="shared" si="121"/>
        <v>0</v>
      </c>
      <c r="AQ90" s="823">
        <f t="shared" si="121"/>
        <v>0</v>
      </c>
      <c r="AR90" s="823">
        <f t="shared" si="121"/>
        <v>0</v>
      </c>
      <c r="AS90" s="823">
        <f t="shared" si="121"/>
        <v>0</v>
      </c>
      <c r="AT90" s="823">
        <f t="shared" si="121"/>
        <v>0</v>
      </c>
      <c r="AU90" s="823">
        <f t="shared" si="121"/>
        <v>0</v>
      </c>
      <c r="AV90" s="823">
        <f t="shared" si="121"/>
        <v>0</v>
      </c>
      <c r="AW90" s="823">
        <f t="shared" si="121"/>
        <v>0</v>
      </c>
      <c r="AX90" s="823">
        <f t="shared" si="121"/>
        <v>0</v>
      </c>
      <c r="AY90" s="823">
        <f t="shared" si="121"/>
        <v>0</v>
      </c>
      <c r="AZ90" s="823">
        <f t="shared" si="121"/>
        <v>0</v>
      </c>
      <c r="BA90" s="823">
        <f t="shared" si="121"/>
        <v>0</v>
      </c>
      <c r="BB90" s="823">
        <f t="shared" si="121"/>
        <v>0</v>
      </c>
      <c r="BC90" s="823">
        <f t="shared" si="121"/>
        <v>0</v>
      </c>
      <c r="BD90" s="823">
        <f t="shared" si="121"/>
        <v>0</v>
      </c>
      <c r="BE90" s="823">
        <f t="shared" si="121"/>
        <v>0</v>
      </c>
      <c r="BF90" s="823">
        <f t="shared" si="121"/>
        <v>0</v>
      </c>
      <c r="BG90" s="823">
        <f t="shared" si="121"/>
        <v>0</v>
      </c>
      <c r="BH90" s="823">
        <f t="shared" si="121"/>
        <v>0</v>
      </c>
      <c r="BI90" s="823">
        <f t="shared" si="121"/>
        <v>0</v>
      </c>
      <c r="BJ90" s="823">
        <f t="shared" si="121"/>
        <v>0</v>
      </c>
      <c r="BK90" s="823">
        <f t="shared" si="121"/>
        <v>0</v>
      </c>
      <c r="BL90" s="823">
        <f t="shared" si="121"/>
        <v>0</v>
      </c>
      <c r="BM90" s="823">
        <f t="shared" si="121"/>
        <v>0</v>
      </c>
      <c r="BN90" s="823">
        <f t="shared" ref="BN90:ED90" si="122">SUM(BN91:BN91)</f>
        <v>0</v>
      </c>
      <c r="BO90" s="823">
        <f t="shared" si="122"/>
        <v>0</v>
      </c>
      <c r="BP90" s="823">
        <f t="shared" si="122"/>
        <v>0</v>
      </c>
      <c r="BQ90" s="823">
        <f t="shared" si="122"/>
        <v>0</v>
      </c>
      <c r="BR90" s="823">
        <f t="shared" si="122"/>
        <v>0</v>
      </c>
      <c r="BS90" s="823">
        <f t="shared" si="122"/>
        <v>0</v>
      </c>
      <c r="BT90" s="823">
        <f t="shared" si="122"/>
        <v>0</v>
      </c>
      <c r="BU90" s="823">
        <f t="shared" si="122"/>
        <v>0</v>
      </c>
      <c r="BV90" s="823">
        <f t="shared" si="122"/>
        <v>0</v>
      </c>
      <c r="BW90" s="823">
        <f t="shared" si="122"/>
        <v>0</v>
      </c>
      <c r="BX90" s="823">
        <f t="shared" si="122"/>
        <v>0</v>
      </c>
      <c r="BY90" s="823">
        <f t="shared" si="122"/>
        <v>0</v>
      </c>
      <c r="BZ90" s="823">
        <f t="shared" si="122"/>
        <v>0</v>
      </c>
      <c r="CA90" s="823">
        <f t="shared" si="122"/>
        <v>0</v>
      </c>
      <c r="CB90" s="823">
        <f t="shared" si="122"/>
        <v>0</v>
      </c>
      <c r="CC90" s="823">
        <f t="shared" si="122"/>
        <v>0</v>
      </c>
      <c r="CD90" s="823">
        <f t="shared" si="122"/>
        <v>0</v>
      </c>
      <c r="CE90" s="823">
        <f t="shared" si="122"/>
        <v>0</v>
      </c>
      <c r="CF90" s="823">
        <f t="shared" si="122"/>
        <v>0</v>
      </c>
      <c r="CG90" s="823">
        <f t="shared" si="122"/>
        <v>0</v>
      </c>
      <c r="CH90" s="823">
        <f t="shared" si="122"/>
        <v>0</v>
      </c>
      <c r="CI90" s="823">
        <f t="shared" si="122"/>
        <v>0</v>
      </c>
      <c r="CJ90" s="823">
        <f t="shared" si="122"/>
        <v>0</v>
      </c>
      <c r="CK90" s="823">
        <f t="shared" si="122"/>
        <v>0</v>
      </c>
      <c r="CL90" s="823">
        <f t="shared" si="122"/>
        <v>0</v>
      </c>
      <c r="CM90" s="823">
        <f t="shared" si="122"/>
        <v>0</v>
      </c>
      <c r="CN90" s="823">
        <f t="shared" si="122"/>
        <v>0</v>
      </c>
      <c r="CO90" s="823">
        <f t="shared" si="122"/>
        <v>0</v>
      </c>
      <c r="CP90" s="823">
        <f t="shared" si="122"/>
        <v>0</v>
      </c>
      <c r="CQ90" s="823">
        <f t="shared" si="122"/>
        <v>235000000</v>
      </c>
      <c r="CR90" s="823">
        <f t="shared" si="122"/>
        <v>0</v>
      </c>
      <c r="CS90" s="823">
        <f t="shared" si="122"/>
        <v>0</v>
      </c>
      <c r="CT90" s="823">
        <f t="shared" si="122"/>
        <v>0</v>
      </c>
      <c r="CU90" s="823">
        <f t="shared" si="122"/>
        <v>0</v>
      </c>
      <c r="CV90" s="823">
        <f t="shared" si="122"/>
        <v>0</v>
      </c>
      <c r="CW90" s="823">
        <f t="shared" si="122"/>
        <v>0</v>
      </c>
      <c r="CX90" s="823">
        <f t="shared" si="122"/>
        <v>0</v>
      </c>
      <c r="CY90" s="823">
        <f t="shared" si="122"/>
        <v>290000000</v>
      </c>
      <c r="CZ90" s="823">
        <f t="shared" si="122"/>
        <v>254352381</v>
      </c>
      <c r="DA90" s="823">
        <f t="shared" si="122"/>
        <v>243393157</v>
      </c>
      <c r="DB90" s="823">
        <f t="shared" si="122"/>
        <v>243393157</v>
      </c>
      <c r="DC90" s="823">
        <f t="shared" si="122"/>
        <v>0</v>
      </c>
      <c r="DD90" s="823">
        <f t="shared" si="122"/>
        <v>0</v>
      </c>
      <c r="DE90" s="823">
        <f t="shared" si="122"/>
        <v>0</v>
      </c>
      <c r="DF90" s="823">
        <f t="shared" si="122"/>
        <v>0</v>
      </c>
      <c r="DG90" s="823">
        <f t="shared" si="122"/>
        <v>0</v>
      </c>
      <c r="DH90" s="823">
        <f t="shared" si="122"/>
        <v>0</v>
      </c>
      <c r="DI90" s="823">
        <f t="shared" si="122"/>
        <v>0</v>
      </c>
      <c r="DJ90" s="823">
        <f t="shared" si="122"/>
        <v>0</v>
      </c>
      <c r="DK90" s="823">
        <f t="shared" si="122"/>
        <v>0</v>
      </c>
      <c r="DL90" s="823">
        <f t="shared" si="122"/>
        <v>0</v>
      </c>
      <c r="DM90" s="823">
        <f t="shared" si="122"/>
        <v>0</v>
      </c>
      <c r="DN90" s="823">
        <f t="shared" si="122"/>
        <v>0</v>
      </c>
      <c r="DO90" s="823">
        <f t="shared" si="122"/>
        <v>0</v>
      </c>
      <c r="DP90" s="823">
        <f t="shared" si="122"/>
        <v>0</v>
      </c>
      <c r="DQ90" s="823">
        <f t="shared" si="122"/>
        <v>0</v>
      </c>
      <c r="DR90" s="823">
        <f t="shared" si="122"/>
        <v>0</v>
      </c>
      <c r="DS90" s="823">
        <f t="shared" si="122"/>
        <v>0</v>
      </c>
      <c r="DT90" s="823">
        <f t="shared" si="122"/>
        <v>0</v>
      </c>
      <c r="DU90" s="823">
        <f t="shared" si="122"/>
        <v>0</v>
      </c>
      <c r="DV90" s="823">
        <f t="shared" si="122"/>
        <v>0</v>
      </c>
      <c r="DW90" s="823">
        <f t="shared" si="122"/>
        <v>0</v>
      </c>
      <c r="DX90" s="823">
        <f t="shared" si="122"/>
        <v>0</v>
      </c>
      <c r="DY90" s="823">
        <f t="shared" si="122"/>
        <v>0</v>
      </c>
      <c r="DZ90" s="823">
        <f t="shared" si="122"/>
        <v>0</v>
      </c>
      <c r="EA90" s="823">
        <f t="shared" si="122"/>
        <v>0</v>
      </c>
      <c r="EB90" s="823">
        <f t="shared" si="122"/>
        <v>0</v>
      </c>
      <c r="EC90" s="823">
        <f t="shared" si="122"/>
        <v>0</v>
      </c>
      <c r="ED90" s="823">
        <f t="shared" si="122"/>
        <v>0</v>
      </c>
      <c r="EE90" s="857">
        <f t="shared" si="118"/>
        <v>525000000</v>
      </c>
      <c r="EF90" s="857">
        <f t="shared" si="119"/>
        <v>254352381</v>
      </c>
      <c r="EG90" s="857">
        <f t="shared" si="120"/>
        <v>243393157</v>
      </c>
      <c r="EH90" s="857">
        <f t="shared" si="120"/>
        <v>243393157</v>
      </c>
      <c r="EI90" s="824">
        <f t="shared" si="85"/>
        <v>0</v>
      </c>
      <c r="EK90" s="813"/>
    </row>
    <row r="91" spans="1:141" ht="25.5" customHeight="1" thickTop="1" thickBot="1" x14ac:dyDescent="0.3">
      <c r="A91" s="825" t="s">
        <v>1622</v>
      </c>
      <c r="B91" s="826">
        <f>+'Anexo 5.2. informe Gastos'!I190</f>
        <v>525000000</v>
      </c>
      <c r="C91" s="827"/>
      <c r="D91" s="827"/>
      <c r="E91" s="827"/>
      <c r="F91" s="827"/>
      <c r="G91" s="827"/>
      <c r="H91" s="827"/>
      <c r="I91" s="827"/>
      <c r="J91" s="827"/>
      <c r="K91" s="827"/>
      <c r="L91" s="827"/>
      <c r="M91" s="827"/>
      <c r="N91" s="827"/>
      <c r="O91" s="828"/>
      <c r="P91" s="828"/>
      <c r="Q91" s="827"/>
      <c r="R91" s="828"/>
      <c r="S91" s="828"/>
      <c r="T91" s="828"/>
      <c r="U91" s="827"/>
      <c r="V91" s="827"/>
      <c r="W91" s="827"/>
      <c r="X91" s="827"/>
      <c r="Y91" s="827"/>
      <c r="Z91" s="827"/>
      <c r="AA91" s="827"/>
      <c r="AB91" s="827"/>
      <c r="AC91" s="827"/>
      <c r="AD91" s="827"/>
      <c r="AE91" s="827"/>
      <c r="AF91" s="827"/>
      <c r="AG91" s="827"/>
      <c r="AH91" s="827"/>
      <c r="AI91" s="827"/>
      <c r="AJ91" s="827"/>
      <c r="AK91" s="827"/>
      <c r="AL91" s="827"/>
      <c r="AM91" s="827"/>
      <c r="AN91" s="827"/>
      <c r="AO91" s="827"/>
      <c r="AP91" s="827"/>
      <c r="AQ91" s="827"/>
      <c r="AR91" s="827"/>
      <c r="AS91" s="827"/>
      <c r="AT91" s="827"/>
      <c r="AU91" s="827"/>
      <c r="AV91" s="827"/>
      <c r="AW91" s="827"/>
      <c r="AX91" s="827"/>
      <c r="AY91" s="827"/>
      <c r="AZ91" s="827"/>
      <c r="BA91" s="827"/>
      <c r="BB91" s="827"/>
      <c r="BC91" s="827"/>
      <c r="BD91" s="827"/>
      <c r="BE91" s="827"/>
      <c r="BF91" s="827"/>
      <c r="BG91" s="827"/>
      <c r="BH91" s="827"/>
      <c r="BI91" s="827"/>
      <c r="BJ91" s="827"/>
      <c r="BK91" s="827"/>
      <c r="BL91" s="827"/>
      <c r="BM91" s="827"/>
      <c r="BN91" s="827"/>
      <c r="BO91" s="827"/>
      <c r="BP91" s="827"/>
      <c r="BQ91" s="827"/>
      <c r="BR91" s="827"/>
      <c r="BS91" s="827"/>
      <c r="BT91" s="827"/>
      <c r="BU91" s="827"/>
      <c r="BV91" s="827"/>
      <c r="BW91" s="827"/>
      <c r="BX91" s="827"/>
      <c r="BY91" s="827"/>
      <c r="BZ91" s="827"/>
      <c r="CA91" s="827"/>
      <c r="CB91" s="827"/>
      <c r="CC91" s="827"/>
      <c r="CD91" s="827"/>
      <c r="CE91" s="827"/>
      <c r="CF91" s="827"/>
      <c r="CG91" s="827"/>
      <c r="CH91" s="827"/>
      <c r="CI91" s="827"/>
      <c r="CJ91" s="827"/>
      <c r="CK91" s="827"/>
      <c r="CL91" s="827"/>
      <c r="CM91" s="829"/>
      <c r="CN91" s="829"/>
      <c r="CO91" s="831"/>
      <c r="CP91" s="831"/>
      <c r="CQ91" s="829">
        <v>235000000</v>
      </c>
      <c r="CR91" s="829"/>
      <c r="CS91" s="831"/>
      <c r="CT91" s="831"/>
      <c r="CU91" s="829"/>
      <c r="CV91" s="829"/>
      <c r="CW91" s="831"/>
      <c r="CX91" s="831"/>
      <c r="CY91" s="834">
        <f>50000000+6918814+125500000+342581186-235000000</f>
        <v>290000000</v>
      </c>
      <c r="CZ91" s="829">
        <f>6918814+121656140+125777427</f>
        <v>254352381</v>
      </c>
      <c r="DA91" s="829">
        <f>6918814+121656140+114818203</f>
        <v>243393157</v>
      </c>
      <c r="DB91" s="829">
        <f>6918814+121656140+114818203</f>
        <v>243393157</v>
      </c>
      <c r="DC91" s="829"/>
      <c r="DD91" s="829"/>
      <c r="DE91" s="831"/>
      <c r="DF91" s="831"/>
      <c r="DG91" s="829"/>
      <c r="DH91" s="829"/>
      <c r="DI91" s="831"/>
      <c r="DJ91" s="831"/>
      <c r="DK91" s="829"/>
      <c r="DL91" s="829"/>
      <c r="DM91" s="831"/>
      <c r="DN91" s="831"/>
      <c r="DO91" s="829"/>
      <c r="DP91" s="829"/>
      <c r="DQ91" s="831"/>
      <c r="DR91" s="831"/>
      <c r="DS91" s="829"/>
      <c r="DT91" s="829"/>
      <c r="DU91" s="831"/>
      <c r="DV91" s="831"/>
      <c r="DW91" s="829"/>
      <c r="DX91" s="829"/>
      <c r="DY91" s="831"/>
      <c r="DZ91" s="831"/>
      <c r="EA91" s="828"/>
      <c r="EB91" s="828"/>
      <c r="EC91" s="827"/>
      <c r="ED91" s="827"/>
      <c r="EE91" s="858">
        <f t="shared" si="118"/>
        <v>525000000</v>
      </c>
      <c r="EF91" s="858">
        <f t="shared" si="119"/>
        <v>254352381</v>
      </c>
      <c r="EG91" s="858">
        <f t="shared" si="120"/>
        <v>243393157</v>
      </c>
      <c r="EH91" s="858">
        <f t="shared" si="120"/>
        <v>243393157</v>
      </c>
      <c r="EI91" s="725">
        <f t="shared" si="85"/>
        <v>0</v>
      </c>
      <c r="EJ91" s="838"/>
      <c r="EK91" s="813"/>
    </row>
    <row r="92" spans="1:141" ht="16.5" thickTop="1" thickBot="1" x14ac:dyDescent="0.3">
      <c r="A92" s="822" t="s">
        <v>2569</v>
      </c>
      <c r="B92" s="823">
        <f t="shared" ref="B92:BM92" si="123">SUM(B93:B93)</f>
        <v>935000000</v>
      </c>
      <c r="C92" s="823">
        <f t="shared" si="123"/>
        <v>0</v>
      </c>
      <c r="D92" s="823">
        <f t="shared" si="123"/>
        <v>0</v>
      </c>
      <c r="E92" s="823">
        <f t="shared" si="123"/>
        <v>0</v>
      </c>
      <c r="F92" s="823">
        <f t="shared" si="123"/>
        <v>0</v>
      </c>
      <c r="G92" s="823">
        <f t="shared" si="123"/>
        <v>0</v>
      </c>
      <c r="H92" s="823">
        <f t="shared" si="123"/>
        <v>0</v>
      </c>
      <c r="I92" s="823">
        <f t="shared" si="123"/>
        <v>0</v>
      </c>
      <c r="J92" s="823">
        <f t="shared" si="123"/>
        <v>0</v>
      </c>
      <c r="K92" s="823">
        <f t="shared" si="123"/>
        <v>0</v>
      </c>
      <c r="L92" s="823">
        <f t="shared" si="123"/>
        <v>0</v>
      </c>
      <c r="M92" s="823">
        <f t="shared" si="123"/>
        <v>0</v>
      </c>
      <c r="N92" s="823">
        <f t="shared" si="123"/>
        <v>0</v>
      </c>
      <c r="O92" s="823">
        <f t="shared" si="123"/>
        <v>0</v>
      </c>
      <c r="P92" s="823">
        <f t="shared" si="123"/>
        <v>0</v>
      </c>
      <c r="Q92" s="823">
        <f t="shared" si="123"/>
        <v>0</v>
      </c>
      <c r="R92" s="823">
        <f t="shared" si="123"/>
        <v>0</v>
      </c>
      <c r="S92" s="823">
        <f t="shared" si="123"/>
        <v>0</v>
      </c>
      <c r="T92" s="823">
        <f t="shared" si="123"/>
        <v>0</v>
      </c>
      <c r="U92" s="823">
        <f t="shared" si="123"/>
        <v>0</v>
      </c>
      <c r="V92" s="823">
        <f t="shared" si="123"/>
        <v>0</v>
      </c>
      <c r="W92" s="823">
        <f t="shared" si="123"/>
        <v>0</v>
      </c>
      <c r="X92" s="823">
        <f t="shared" si="123"/>
        <v>0</v>
      </c>
      <c r="Y92" s="823">
        <f t="shared" si="123"/>
        <v>0</v>
      </c>
      <c r="Z92" s="823">
        <f t="shared" si="123"/>
        <v>0</v>
      </c>
      <c r="AA92" s="823">
        <f t="shared" si="123"/>
        <v>0</v>
      </c>
      <c r="AB92" s="823">
        <f t="shared" si="123"/>
        <v>0</v>
      </c>
      <c r="AC92" s="823">
        <f t="shared" si="123"/>
        <v>0</v>
      </c>
      <c r="AD92" s="823">
        <f t="shared" si="123"/>
        <v>0</v>
      </c>
      <c r="AE92" s="823">
        <f t="shared" si="123"/>
        <v>0</v>
      </c>
      <c r="AF92" s="823">
        <f t="shared" si="123"/>
        <v>0</v>
      </c>
      <c r="AG92" s="823">
        <f t="shared" si="123"/>
        <v>0</v>
      </c>
      <c r="AH92" s="823">
        <f t="shared" si="123"/>
        <v>0</v>
      </c>
      <c r="AI92" s="823">
        <f t="shared" si="123"/>
        <v>0</v>
      </c>
      <c r="AJ92" s="823">
        <f t="shared" si="123"/>
        <v>0</v>
      </c>
      <c r="AK92" s="823">
        <f t="shared" si="123"/>
        <v>0</v>
      </c>
      <c r="AL92" s="823">
        <f t="shared" si="123"/>
        <v>0</v>
      </c>
      <c r="AM92" s="823">
        <f t="shared" si="123"/>
        <v>0</v>
      </c>
      <c r="AN92" s="823">
        <f t="shared" si="123"/>
        <v>0</v>
      </c>
      <c r="AO92" s="823">
        <f t="shared" si="123"/>
        <v>0</v>
      </c>
      <c r="AP92" s="823">
        <f t="shared" si="123"/>
        <v>0</v>
      </c>
      <c r="AQ92" s="823">
        <f t="shared" si="123"/>
        <v>0</v>
      </c>
      <c r="AR92" s="823">
        <f t="shared" si="123"/>
        <v>0</v>
      </c>
      <c r="AS92" s="823">
        <f t="shared" si="123"/>
        <v>0</v>
      </c>
      <c r="AT92" s="823">
        <f t="shared" si="123"/>
        <v>0</v>
      </c>
      <c r="AU92" s="823">
        <f t="shared" si="123"/>
        <v>0</v>
      </c>
      <c r="AV92" s="823">
        <f t="shared" si="123"/>
        <v>0</v>
      </c>
      <c r="AW92" s="823">
        <f t="shared" si="123"/>
        <v>0</v>
      </c>
      <c r="AX92" s="823">
        <f t="shared" si="123"/>
        <v>0</v>
      </c>
      <c r="AY92" s="823">
        <f t="shared" si="123"/>
        <v>0</v>
      </c>
      <c r="AZ92" s="823">
        <f t="shared" si="123"/>
        <v>0</v>
      </c>
      <c r="BA92" s="823">
        <f t="shared" si="123"/>
        <v>0</v>
      </c>
      <c r="BB92" s="823">
        <f t="shared" si="123"/>
        <v>0</v>
      </c>
      <c r="BC92" s="823">
        <f t="shared" si="123"/>
        <v>0</v>
      </c>
      <c r="BD92" s="823">
        <f t="shared" si="123"/>
        <v>0</v>
      </c>
      <c r="BE92" s="823">
        <f t="shared" si="123"/>
        <v>0</v>
      </c>
      <c r="BF92" s="823">
        <f t="shared" si="123"/>
        <v>0</v>
      </c>
      <c r="BG92" s="823">
        <f t="shared" si="123"/>
        <v>0</v>
      </c>
      <c r="BH92" s="823">
        <f t="shared" si="123"/>
        <v>0</v>
      </c>
      <c r="BI92" s="823">
        <f t="shared" si="123"/>
        <v>0</v>
      </c>
      <c r="BJ92" s="823">
        <f t="shared" si="123"/>
        <v>0</v>
      </c>
      <c r="BK92" s="823">
        <f t="shared" si="123"/>
        <v>0</v>
      </c>
      <c r="BL92" s="823">
        <f t="shared" si="123"/>
        <v>0</v>
      </c>
      <c r="BM92" s="823">
        <f t="shared" si="123"/>
        <v>0</v>
      </c>
      <c r="BN92" s="823">
        <f t="shared" ref="BN92:ED92" si="124">SUM(BN93:BN93)</f>
        <v>0</v>
      </c>
      <c r="BO92" s="823">
        <f t="shared" si="124"/>
        <v>0</v>
      </c>
      <c r="BP92" s="823">
        <f t="shared" si="124"/>
        <v>0</v>
      </c>
      <c r="BQ92" s="823">
        <f t="shared" si="124"/>
        <v>0</v>
      </c>
      <c r="BR92" s="823">
        <f t="shared" si="124"/>
        <v>0</v>
      </c>
      <c r="BS92" s="823">
        <f t="shared" si="124"/>
        <v>0</v>
      </c>
      <c r="BT92" s="823">
        <f t="shared" si="124"/>
        <v>0</v>
      </c>
      <c r="BU92" s="823">
        <f t="shared" si="124"/>
        <v>0</v>
      </c>
      <c r="BV92" s="823">
        <f t="shared" si="124"/>
        <v>0</v>
      </c>
      <c r="BW92" s="823">
        <f t="shared" si="124"/>
        <v>0</v>
      </c>
      <c r="BX92" s="823">
        <f t="shared" si="124"/>
        <v>0</v>
      </c>
      <c r="BY92" s="823">
        <f t="shared" si="124"/>
        <v>0</v>
      </c>
      <c r="BZ92" s="823">
        <f t="shared" si="124"/>
        <v>0</v>
      </c>
      <c r="CA92" s="823">
        <f t="shared" si="124"/>
        <v>0</v>
      </c>
      <c r="CB92" s="823">
        <f t="shared" si="124"/>
        <v>0</v>
      </c>
      <c r="CC92" s="823">
        <f t="shared" si="124"/>
        <v>0</v>
      </c>
      <c r="CD92" s="823">
        <f t="shared" si="124"/>
        <v>0</v>
      </c>
      <c r="CE92" s="823">
        <f t="shared" si="124"/>
        <v>0</v>
      </c>
      <c r="CF92" s="823">
        <f t="shared" si="124"/>
        <v>0</v>
      </c>
      <c r="CG92" s="823">
        <f t="shared" si="124"/>
        <v>0</v>
      </c>
      <c r="CH92" s="823">
        <f t="shared" si="124"/>
        <v>0</v>
      </c>
      <c r="CI92" s="823">
        <f t="shared" si="124"/>
        <v>0</v>
      </c>
      <c r="CJ92" s="823">
        <f t="shared" si="124"/>
        <v>0</v>
      </c>
      <c r="CK92" s="823">
        <f t="shared" si="124"/>
        <v>0</v>
      </c>
      <c r="CL92" s="823">
        <f t="shared" si="124"/>
        <v>0</v>
      </c>
      <c r="CM92" s="823">
        <f t="shared" si="124"/>
        <v>0</v>
      </c>
      <c r="CN92" s="823">
        <f t="shared" si="124"/>
        <v>0</v>
      </c>
      <c r="CO92" s="823">
        <f t="shared" si="124"/>
        <v>0</v>
      </c>
      <c r="CP92" s="823">
        <f t="shared" si="124"/>
        <v>0</v>
      </c>
      <c r="CQ92" s="823">
        <f t="shared" si="124"/>
        <v>935000000</v>
      </c>
      <c r="CR92" s="823">
        <f t="shared" si="124"/>
        <v>906277079</v>
      </c>
      <c r="CS92" s="823">
        <f t="shared" si="124"/>
        <v>899777079</v>
      </c>
      <c r="CT92" s="823">
        <f t="shared" si="124"/>
        <v>897777079</v>
      </c>
      <c r="CU92" s="823">
        <f t="shared" si="124"/>
        <v>0</v>
      </c>
      <c r="CV92" s="823">
        <f t="shared" si="124"/>
        <v>0</v>
      </c>
      <c r="CW92" s="823">
        <f t="shared" si="124"/>
        <v>0</v>
      </c>
      <c r="CX92" s="823">
        <f t="shared" si="124"/>
        <v>0</v>
      </c>
      <c r="CY92" s="823">
        <f t="shared" si="124"/>
        <v>0</v>
      </c>
      <c r="CZ92" s="823">
        <f t="shared" si="124"/>
        <v>0</v>
      </c>
      <c r="DA92" s="823">
        <f t="shared" si="124"/>
        <v>0</v>
      </c>
      <c r="DB92" s="823">
        <f t="shared" si="124"/>
        <v>0</v>
      </c>
      <c r="DC92" s="823">
        <f t="shared" si="124"/>
        <v>0</v>
      </c>
      <c r="DD92" s="823">
        <f t="shared" si="124"/>
        <v>0</v>
      </c>
      <c r="DE92" s="823">
        <f t="shared" si="124"/>
        <v>0</v>
      </c>
      <c r="DF92" s="823">
        <f t="shared" si="124"/>
        <v>0</v>
      </c>
      <c r="DG92" s="823">
        <f t="shared" si="124"/>
        <v>0</v>
      </c>
      <c r="DH92" s="823">
        <f t="shared" si="124"/>
        <v>0</v>
      </c>
      <c r="DI92" s="823">
        <f t="shared" si="124"/>
        <v>0</v>
      </c>
      <c r="DJ92" s="823">
        <f t="shared" si="124"/>
        <v>0</v>
      </c>
      <c r="DK92" s="823">
        <f t="shared" si="124"/>
        <v>0</v>
      </c>
      <c r="DL92" s="823">
        <f t="shared" si="124"/>
        <v>0</v>
      </c>
      <c r="DM92" s="823">
        <f t="shared" si="124"/>
        <v>0</v>
      </c>
      <c r="DN92" s="823">
        <f t="shared" si="124"/>
        <v>0</v>
      </c>
      <c r="DO92" s="823">
        <f t="shared" si="124"/>
        <v>0</v>
      </c>
      <c r="DP92" s="823">
        <f t="shared" si="124"/>
        <v>0</v>
      </c>
      <c r="DQ92" s="823">
        <f t="shared" si="124"/>
        <v>0</v>
      </c>
      <c r="DR92" s="823">
        <f t="shared" si="124"/>
        <v>0</v>
      </c>
      <c r="DS92" s="823">
        <f t="shared" si="124"/>
        <v>0</v>
      </c>
      <c r="DT92" s="823">
        <f t="shared" si="124"/>
        <v>0</v>
      </c>
      <c r="DU92" s="823">
        <f t="shared" si="124"/>
        <v>0</v>
      </c>
      <c r="DV92" s="823">
        <f t="shared" si="124"/>
        <v>0</v>
      </c>
      <c r="DW92" s="823">
        <f t="shared" si="124"/>
        <v>0</v>
      </c>
      <c r="DX92" s="823">
        <f t="shared" si="124"/>
        <v>0</v>
      </c>
      <c r="DY92" s="823">
        <f t="shared" si="124"/>
        <v>0</v>
      </c>
      <c r="DZ92" s="823">
        <f t="shared" si="124"/>
        <v>0</v>
      </c>
      <c r="EA92" s="823">
        <f t="shared" si="124"/>
        <v>0</v>
      </c>
      <c r="EB92" s="823">
        <f t="shared" si="124"/>
        <v>0</v>
      </c>
      <c r="EC92" s="823">
        <f t="shared" si="124"/>
        <v>0</v>
      </c>
      <c r="ED92" s="823">
        <f t="shared" si="124"/>
        <v>0</v>
      </c>
      <c r="EE92" s="857">
        <f t="shared" si="118"/>
        <v>935000000</v>
      </c>
      <c r="EF92" s="857">
        <f t="shared" si="119"/>
        <v>906277079</v>
      </c>
      <c r="EG92" s="857">
        <f t="shared" si="120"/>
        <v>899777079</v>
      </c>
      <c r="EH92" s="857">
        <f t="shared" si="120"/>
        <v>897777079</v>
      </c>
      <c r="EI92" s="824">
        <f t="shared" si="85"/>
        <v>0</v>
      </c>
      <c r="EK92" s="813"/>
    </row>
    <row r="93" spans="1:141" ht="16.5" thickTop="1" thickBot="1" x14ac:dyDescent="0.3">
      <c r="A93" s="825" t="s">
        <v>1624</v>
      </c>
      <c r="B93" s="826">
        <f>+'Anexo 5.2. informe Gastos'!I194</f>
        <v>935000000</v>
      </c>
      <c r="C93" s="827"/>
      <c r="D93" s="827"/>
      <c r="E93" s="827"/>
      <c r="F93" s="827"/>
      <c r="G93" s="827"/>
      <c r="H93" s="827"/>
      <c r="I93" s="827"/>
      <c r="J93" s="827"/>
      <c r="K93" s="827"/>
      <c r="L93" s="827"/>
      <c r="M93" s="827"/>
      <c r="N93" s="827"/>
      <c r="O93" s="828"/>
      <c r="P93" s="828"/>
      <c r="Q93" s="827"/>
      <c r="R93" s="828"/>
      <c r="S93" s="828"/>
      <c r="T93" s="828"/>
      <c r="U93" s="827"/>
      <c r="V93" s="827"/>
      <c r="W93" s="827"/>
      <c r="X93" s="827"/>
      <c r="Y93" s="827"/>
      <c r="Z93" s="827"/>
      <c r="AA93" s="827"/>
      <c r="AB93" s="827"/>
      <c r="AC93" s="827"/>
      <c r="AD93" s="827"/>
      <c r="AE93" s="827"/>
      <c r="AF93" s="827"/>
      <c r="AG93" s="827"/>
      <c r="AH93" s="827"/>
      <c r="AI93" s="827"/>
      <c r="AJ93" s="827"/>
      <c r="AK93" s="827"/>
      <c r="AL93" s="827"/>
      <c r="AM93" s="827"/>
      <c r="AN93" s="827"/>
      <c r="AO93" s="827"/>
      <c r="AP93" s="827"/>
      <c r="AQ93" s="827"/>
      <c r="AR93" s="827"/>
      <c r="AS93" s="827"/>
      <c r="AT93" s="827"/>
      <c r="AU93" s="827"/>
      <c r="AV93" s="827"/>
      <c r="AW93" s="827"/>
      <c r="AX93" s="827"/>
      <c r="AY93" s="827"/>
      <c r="AZ93" s="827"/>
      <c r="BA93" s="827"/>
      <c r="BB93" s="827"/>
      <c r="BC93" s="827"/>
      <c r="BD93" s="827"/>
      <c r="BE93" s="827"/>
      <c r="BF93" s="827"/>
      <c r="BG93" s="827"/>
      <c r="BH93" s="827"/>
      <c r="BI93" s="827"/>
      <c r="BJ93" s="827"/>
      <c r="BK93" s="827"/>
      <c r="BL93" s="827"/>
      <c r="BM93" s="827"/>
      <c r="BN93" s="827"/>
      <c r="BO93" s="827"/>
      <c r="BP93" s="827"/>
      <c r="BQ93" s="827"/>
      <c r="BR93" s="827"/>
      <c r="BS93" s="827"/>
      <c r="BT93" s="827"/>
      <c r="BU93" s="827"/>
      <c r="BV93" s="827"/>
      <c r="BW93" s="827"/>
      <c r="BX93" s="827"/>
      <c r="BY93" s="827"/>
      <c r="BZ93" s="827"/>
      <c r="CA93" s="827"/>
      <c r="CB93" s="827"/>
      <c r="CC93" s="827"/>
      <c r="CD93" s="827"/>
      <c r="CE93" s="827"/>
      <c r="CF93" s="827"/>
      <c r="CG93" s="827"/>
      <c r="CH93" s="827"/>
      <c r="CI93" s="827"/>
      <c r="CJ93" s="827"/>
      <c r="CK93" s="827"/>
      <c r="CL93" s="827"/>
      <c r="CM93" s="829"/>
      <c r="CN93" s="831"/>
      <c r="CO93" s="831"/>
      <c r="CP93" s="831"/>
      <c r="CQ93" s="834">
        <f>15000000+920000000</f>
        <v>935000000</v>
      </c>
      <c r="CR93" s="831">
        <v>906277079</v>
      </c>
      <c r="CS93" s="831">
        <v>899777079</v>
      </c>
      <c r="CT93" s="831">
        <v>897777079</v>
      </c>
      <c r="CU93" s="829"/>
      <c r="CV93" s="831"/>
      <c r="CW93" s="831"/>
      <c r="CX93" s="831"/>
      <c r="CY93" s="829"/>
      <c r="CZ93" s="831"/>
      <c r="DA93" s="831"/>
      <c r="DB93" s="831"/>
      <c r="DC93" s="829"/>
      <c r="DD93" s="831"/>
      <c r="DE93" s="831"/>
      <c r="DF93" s="831"/>
      <c r="DG93" s="829"/>
      <c r="DH93" s="831"/>
      <c r="DI93" s="831"/>
      <c r="DJ93" s="831"/>
      <c r="DK93" s="829"/>
      <c r="DL93" s="831"/>
      <c r="DM93" s="831"/>
      <c r="DN93" s="831"/>
      <c r="DO93" s="829"/>
      <c r="DP93" s="831"/>
      <c r="DQ93" s="831"/>
      <c r="DR93" s="831"/>
      <c r="DS93" s="829"/>
      <c r="DT93" s="831"/>
      <c r="DU93" s="831"/>
      <c r="DV93" s="831"/>
      <c r="DW93" s="829"/>
      <c r="DX93" s="831"/>
      <c r="DY93" s="831"/>
      <c r="DZ93" s="831"/>
      <c r="EA93" s="828"/>
      <c r="EB93" s="828"/>
      <c r="EC93" s="827"/>
      <c r="ED93" s="827"/>
      <c r="EE93" s="858">
        <f t="shared" si="118"/>
        <v>935000000</v>
      </c>
      <c r="EF93" s="858">
        <f t="shared" si="119"/>
        <v>906277079</v>
      </c>
      <c r="EG93" s="858">
        <f t="shared" si="120"/>
        <v>899777079</v>
      </c>
      <c r="EH93" s="858">
        <f t="shared" si="120"/>
        <v>897777079</v>
      </c>
      <c r="EI93" s="725">
        <f t="shared" si="85"/>
        <v>0</v>
      </c>
      <c r="EJ93" s="838"/>
      <c r="EK93" s="813"/>
    </row>
    <row r="94" spans="1:141" ht="16.5" thickTop="1" thickBot="1" x14ac:dyDescent="0.3">
      <c r="A94" s="822" t="s">
        <v>1628</v>
      </c>
      <c r="B94" s="823">
        <f t="shared" ref="B94:BM94" si="125">SUM(B95:B95)</f>
        <v>140000000</v>
      </c>
      <c r="C94" s="823">
        <f t="shared" si="125"/>
        <v>0</v>
      </c>
      <c r="D94" s="823">
        <f t="shared" si="125"/>
        <v>0</v>
      </c>
      <c r="E94" s="823">
        <f t="shared" si="125"/>
        <v>0</v>
      </c>
      <c r="F94" s="823">
        <f t="shared" si="125"/>
        <v>0</v>
      </c>
      <c r="G94" s="823">
        <f t="shared" si="125"/>
        <v>0</v>
      </c>
      <c r="H94" s="823">
        <f t="shared" si="125"/>
        <v>0</v>
      </c>
      <c r="I94" s="823">
        <f t="shared" si="125"/>
        <v>0</v>
      </c>
      <c r="J94" s="823">
        <f t="shared" si="125"/>
        <v>0</v>
      </c>
      <c r="K94" s="823">
        <f t="shared" si="125"/>
        <v>0</v>
      </c>
      <c r="L94" s="823">
        <f t="shared" si="125"/>
        <v>0</v>
      </c>
      <c r="M94" s="823">
        <f t="shared" si="125"/>
        <v>0</v>
      </c>
      <c r="N94" s="823">
        <f t="shared" si="125"/>
        <v>0</v>
      </c>
      <c r="O94" s="823">
        <f t="shared" si="125"/>
        <v>0</v>
      </c>
      <c r="P94" s="823">
        <f t="shared" si="125"/>
        <v>0</v>
      </c>
      <c r="Q94" s="823">
        <f t="shared" si="125"/>
        <v>0</v>
      </c>
      <c r="R94" s="823">
        <f t="shared" si="125"/>
        <v>0</v>
      </c>
      <c r="S94" s="823">
        <f t="shared" si="125"/>
        <v>0</v>
      </c>
      <c r="T94" s="823">
        <f t="shared" si="125"/>
        <v>0</v>
      </c>
      <c r="U94" s="823">
        <f t="shared" si="125"/>
        <v>0</v>
      </c>
      <c r="V94" s="823">
        <f t="shared" si="125"/>
        <v>0</v>
      </c>
      <c r="W94" s="823">
        <f t="shared" si="125"/>
        <v>0</v>
      </c>
      <c r="X94" s="823">
        <f t="shared" si="125"/>
        <v>0</v>
      </c>
      <c r="Y94" s="823">
        <f t="shared" si="125"/>
        <v>0</v>
      </c>
      <c r="Z94" s="823">
        <f t="shared" si="125"/>
        <v>0</v>
      </c>
      <c r="AA94" s="823">
        <f t="shared" si="125"/>
        <v>0</v>
      </c>
      <c r="AB94" s="823">
        <f t="shared" si="125"/>
        <v>0</v>
      </c>
      <c r="AC94" s="823">
        <f t="shared" si="125"/>
        <v>0</v>
      </c>
      <c r="AD94" s="823">
        <f t="shared" si="125"/>
        <v>0</v>
      </c>
      <c r="AE94" s="823">
        <f t="shared" si="125"/>
        <v>0</v>
      </c>
      <c r="AF94" s="823">
        <f t="shared" si="125"/>
        <v>0</v>
      </c>
      <c r="AG94" s="823">
        <f t="shared" si="125"/>
        <v>0</v>
      </c>
      <c r="AH94" s="823">
        <f t="shared" si="125"/>
        <v>0</v>
      </c>
      <c r="AI94" s="823">
        <f t="shared" si="125"/>
        <v>0</v>
      </c>
      <c r="AJ94" s="823">
        <f t="shared" si="125"/>
        <v>0</v>
      </c>
      <c r="AK94" s="823">
        <f t="shared" si="125"/>
        <v>0</v>
      </c>
      <c r="AL94" s="823">
        <f t="shared" si="125"/>
        <v>0</v>
      </c>
      <c r="AM94" s="823">
        <f t="shared" si="125"/>
        <v>0</v>
      </c>
      <c r="AN94" s="823">
        <f t="shared" si="125"/>
        <v>0</v>
      </c>
      <c r="AO94" s="823">
        <f t="shared" si="125"/>
        <v>0</v>
      </c>
      <c r="AP94" s="823">
        <f t="shared" si="125"/>
        <v>0</v>
      </c>
      <c r="AQ94" s="823">
        <f t="shared" si="125"/>
        <v>0</v>
      </c>
      <c r="AR94" s="823">
        <f t="shared" si="125"/>
        <v>0</v>
      </c>
      <c r="AS94" s="823">
        <f t="shared" si="125"/>
        <v>0</v>
      </c>
      <c r="AT94" s="823">
        <f t="shared" si="125"/>
        <v>0</v>
      </c>
      <c r="AU94" s="823">
        <f t="shared" si="125"/>
        <v>0</v>
      </c>
      <c r="AV94" s="823">
        <f t="shared" si="125"/>
        <v>0</v>
      </c>
      <c r="AW94" s="823">
        <f t="shared" si="125"/>
        <v>0</v>
      </c>
      <c r="AX94" s="823">
        <f t="shared" si="125"/>
        <v>0</v>
      </c>
      <c r="AY94" s="823">
        <f t="shared" si="125"/>
        <v>0</v>
      </c>
      <c r="AZ94" s="823">
        <f t="shared" si="125"/>
        <v>0</v>
      </c>
      <c r="BA94" s="823">
        <f t="shared" si="125"/>
        <v>0</v>
      </c>
      <c r="BB94" s="823">
        <f t="shared" si="125"/>
        <v>0</v>
      </c>
      <c r="BC94" s="823">
        <f t="shared" si="125"/>
        <v>0</v>
      </c>
      <c r="BD94" s="823">
        <f t="shared" si="125"/>
        <v>0</v>
      </c>
      <c r="BE94" s="823">
        <f t="shared" si="125"/>
        <v>0</v>
      </c>
      <c r="BF94" s="823">
        <f t="shared" si="125"/>
        <v>0</v>
      </c>
      <c r="BG94" s="823">
        <f t="shared" si="125"/>
        <v>0</v>
      </c>
      <c r="BH94" s="823">
        <f t="shared" si="125"/>
        <v>0</v>
      </c>
      <c r="BI94" s="823">
        <f t="shared" si="125"/>
        <v>0</v>
      </c>
      <c r="BJ94" s="823">
        <f t="shared" si="125"/>
        <v>0</v>
      </c>
      <c r="BK94" s="823">
        <f t="shared" si="125"/>
        <v>0</v>
      </c>
      <c r="BL94" s="823">
        <f t="shared" si="125"/>
        <v>0</v>
      </c>
      <c r="BM94" s="823">
        <f t="shared" si="125"/>
        <v>0</v>
      </c>
      <c r="BN94" s="823">
        <f t="shared" ref="BN94:ED94" si="126">SUM(BN95:BN95)</f>
        <v>0</v>
      </c>
      <c r="BO94" s="823">
        <f t="shared" si="126"/>
        <v>0</v>
      </c>
      <c r="BP94" s="823">
        <f t="shared" si="126"/>
        <v>0</v>
      </c>
      <c r="BQ94" s="823">
        <f t="shared" si="126"/>
        <v>0</v>
      </c>
      <c r="BR94" s="823">
        <f t="shared" si="126"/>
        <v>0</v>
      </c>
      <c r="BS94" s="823">
        <f t="shared" si="126"/>
        <v>0</v>
      </c>
      <c r="BT94" s="823">
        <f t="shared" si="126"/>
        <v>0</v>
      </c>
      <c r="BU94" s="823">
        <f t="shared" si="126"/>
        <v>0</v>
      </c>
      <c r="BV94" s="823">
        <f t="shared" si="126"/>
        <v>0</v>
      </c>
      <c r="BW94" s="823">
        <f t="shared" si="126"/>
        <v>0</v>
      </c>
      <c r="BX94" s="823">
        <f t="shared" si="126"/>
        <v>0</v>
      </c>
      <c r="BY94" s="823">
        <f t="shared" si="126"/>
        <v>0</v>
      </c>
      <c r="BZ94" s="823">
        <f t="shared" si="126"/>
        <v>0</v>
      </c>
      <c r="CA94" s="823">
        <f t="shared" si="126"/>
        <v>0</v>
      </c>
      <c r="CB94" s="823">
        <f t="shared" si="126"/>
        <v>0</v>
      </c>
      <c r="CC94" s="823">
        <f t="shared" si="126"/>
        <v>0</v>
      </c>
      <c r="CD94" s="823">
        <f t="shared" si="126"/>
        <v>0</v>
      </c>
      <c r="CE94" s="823">
        <f t="shared" si="126"/>
        <v>0</v>
      </c>
      <c r="CF94" s="823">
        <f t="shared" si="126"/>
        <v>0</v>
      </c>
      <c r="CG94" s="823">
        <f t="shared" si="126"/>
        <v>0</v>
      </c>
      <c r="CH94" s="823">
        <f t="shared" si="126"/>
        <v>0</v>
      </c>
      <c r="CI94" s="823">
        <f t="shared" si="126"/>
        <v>0</v>
      </c>
      <c r="CJ94" s="823">
        <f t="shared" si="126"/>
        <v>0</v>
      </c>
      <c r="CK94" s="823">
        <f t="shared" si="126"/>
        <v>0</v>
      </c>
      <c r="CL94" s="823">
        <f t="shared" si="126"/>
        <v>0</v>
      </c>
      <c r="CM94" s="823">
        <f t="shared" si="126"/>
        <v>140000000</v>
      </c>
      <c r="CN94" s="823">
        <f t="shared" si="126"/>
        <v>120999000</v>
      </c>
      <c r="CO94" s="823">
        <f t="shared" si="126"/>
        <v>120999000</v>
      </c>
      <c r="CP94" s="823">
        <f t="shared" si="126"/>
        <v>120999000</v>
      </c>
      <c r="CQ94" s="823">
        <f>SUM(CQ95:CQ95)</f>
        <v>0</v>
      </c>
      <c r="CR94" s="823">
        <f>SUM(CR95:CR95)</f>
        <v>0</v>
      </c>
      <c r="CS94" s="823">
        <f>SUM(CS95:CS95)</f>
        <v>0</v>
      </c>
      <c r="CT94" s="823">
        <f t="shared" si="126"/>
        <v>0</v>
      </c>
      <c r="CU94" s="823">
        <f t="shared" si="126"/>
        <v>0</v>
      </c>
      <c r="CV94" s="823">
        <f t="shared" si="126"/>
        <v>0</v>
      </c>
      <c r="CW94" s="823">
        <f t="shared" si="126"/>
        <v>0</v>
      </c>
      <c r="CX94" s="823">
        <f t="shared" si="126"/>
        <v>0</v>
      </c>
      <c r="CY94" s="823">
        <f t="shared" si="126"/>
        <v>0</v>
      </c>
      <c r="CZ94" s="823">
        <f t="shared" si="126"/>
        <v>0</v>
      </c>
      <c r="DA94" s="823">
        <f t="shared" si="126"/>
        <v>0</v>
      </c>
      <c r="DB94" s="823">
        <f t="shared" si="126"/>
        <v>0</v>
      </c>
      <c r="DC94" s="823">
        <f t="shared" si="126"/>
        <v>0</v>
      </c>
      <c r="DD94" s="823">
        <f t="shared" si="126"/>
        <v>0</v>
      </c>
      <c r="DE94" s="823">
        <f t="shared" si="126"/>
        <v>0</v>
      </c>
      <c r="DF94" s="823">
        <f t="shared" si="126"/>
        <v>0</v>
      </c>
      <c r="DG94" s="823">
        <f t="shared" si="126"/>
        <v>0</v>
      </c>
      <c r="DH94" s="823">
        <f t="shared" si="126"/>
        <v>0</v>
      </c>
      <c r="DI94" s="823">
        <f t="shared" si="126"/>
        <v>0</v>
      </c>
      <c r="DJ94" s="823">
        <f t="shared" si="126"/>
        <v>0</v>
      </c>
      <c r="DK94" s="823">
        <f t="shared" si="126"/>
        <v>0</v>
      </c>
      <c r="DL94" s="823">
        <f t="shared" si="126"/>
        <v>0</v>
      </c>
      <c r="DM94" s="823">
        <f t="shared" si="126"/>
        <v>0</v>
      </c>
      <c r="DN94" s="823">
        <f t="shared" si="126"/>
        <v>0</v>
      </c>
      <c r="DO94" s="823">
        <f t="shared" si="126"/>
        <v>0</v>
      </c>
      <c r="DP94" s="823">
        <f t="shared" si="126"/>
        <v>0</v>
      </c>
      <c r="DQ94" s="823">
        <f t="shared" si="126"/>
        <v>0</v>
      </c>
      <c r="DR94" s="823">
        <f t="shared" si="126"/>
        <v>0</v>
      </c>
      <c r="DS94" s="823">
        <f t="shared" si="126"/>
        <v>0</v>
      </c>
      <c r="DT94" s="823">
        <f t="shared" si="126"/>
        <v>0</v>
      </c>
      <c r="DU94" s="823">
        <f t="shared" si="126"/>
        <v>0</v>
      </c>
      <c r="DV94" s="823">
        <f t="shared" si="126"/>
        <v>0</v>
      </c>
      <c r="DW94" s="823">
        <f t="shared" si="126"/>
        <v>0</v>
      </c>
      <c r="DX94" s="823">
        <f t="shared" si="126"/>
        <v>0</v>
      </c>
      <c r="DY94" s="823">
        <f t="shared" si="126"/>
        <v>0</v>
      </c>
      <c r="DZ94" s="823">
        <f t="shared" si="126"/>
        <v>0</v>
      </c>
      <c r="EA94" s="823">
        <f t="shared" si="126"/>
        <v>0</v>
      </c>
      <c r="EB94" s="823">
        <f t="shared" si="126"/>
        <v>0</v>
      </c>
      <c r="EC94" s="823">
        <f t="shared" si="126"/>
        <v>0</v>
      </c>
      <c r="ED94" s="823">
        <f t="shared" si="126"/>
        <v>0</v>
      </c>
      <c r="EE94" s="857">
        <f t="shared" si="118"/>
        <v>140000000</v>
      </c>
      <c r="EF94" s="857">
        <f t="shared" si="119"/>
        <v>120999000</v>
      </c>
      <c r="EG94" s="857">
        <f t="shared" si="120"/>
        <v>120999000</v>
      </c>
      <c r="EH94" s="857">
        <f t="shared" si="120"/>
        <v>120999000</v>
      </c>
      <c r="EI94" s="824">
        <f t="shared" si="85"/>
        <v>0</v>
      </c>
      <c r="EK94" s="813"/>
    </row>
    <row r="95" spans="1:141" ht="22.5" customHeight="1" thickTop="1" thickBot="1" x14ac:dyDescent="0.3">
      <c r="A95" s="825" t="s">
        <v>1629</v>
      </c>
      <c r="B95" s="826">
        <f>+'Anexo 5.2. informe Gastos'!I198</f>
        <v>140000000</v>
      </c>
      <c r="C95" s="827"/>
      <c r="D95" s="827"/>
      <c r="E95" s="827"/>
      <c r="F95" s="827"/>
      <c r="G95" s="827"/>
      <c r="H95" s="827"/>
      <c r="I95" s="827"/>
      <c r="J95" s="827"/>
      <c r="K95" s="827"/>
      <c r="L95" s="827"/>
      <c r="M95" s="827"/>
      <c r="N95" s="827"/>
      <c r="O95" s="828"/>
      <c r="P95" s="828"/>
      <c r="Q95" s="827"/>
      <c r="R95" s="828"/>
      <c r="S95" s="828"/>
      <c r="T95" s="828"/>
      <c r="U95" s="827"/>
      <c r="V95" s="827"/>
      <c r="W95" s="827"/>
      <c r="X95" s="827"/>
      <c r="Y95" s="827"/>
      <c r="Z95" s="827"/>
      <c r="AA95" s="827"/>
      <c r="AB95" s="827"/>
      <c r="AC95" s="827"/>
      <c r="AD95" s="827"/>
      <c r="AE95" s="827"/>
      <c r="AF95" s="827"/>
      <c r="AG95" s="827"/>
      <c r="AH95" s="827"/>
      <c r="AI95" s="827"/>
      <c r="AJ95" s="827"/>
      <c r="AK95" s="827"/>
      <c r="AL95" s="827"/>
      <c r="AM95" s="827"/>
      <c r="AN95" s="827"/>
      <c r="AO95" s="827"/>
      <c r="AP95" s="827"/>
      <c r="AQ95" s="827"/>
      <c r="AR95" s="827"/>
      <c r="AS95" s="827"/>
      <c r="AT95" s="827"/>
      <c r="AU95" s="827"/>
      <c r="AV95" s="827"/>
      <c r="AW95" s="827"/>
      <c r="AX95" s="827"/>
      <c r="AY95" s="827"/>
      <c r="AZ95" s="827"/>
      <c r="BA95" s="827"/>
      <c r="BB95" s="827"/>
      <c r="BC95" s="827"/>
      <c r="BD95" s="827"/>
      <c r="BE95" s="827"/>
      <c r="BF95" s="827"/>
      <c r="BG95" s="827"/>
      <c r="BH95" s="827"/>
      <c r="BI95" s="827"/>
      <c r="BJ95" s="827"/>
      <c r="BK95" s="827"/>
      <c r="BL95" s="827"/>
      <c r="BM95" s="827"/>
      <c r="BN95" s="827"/>
      <c r="BO95" s="827"/>
      <c r="BP95" s="827"/>
      <c r="BQ95" s="827"/>
      <c r="BR95" s="827"/>
      <c r="BS95" s="827"/>
      <c r="BT95" s="827"/>
      <c r="BU95" s="827"/>
      <c r="BV95" s="827"/>
      <c r="BW95" s="827"/>
      <c r="BX95" s="827"/>
      <c r="BY95" s="827"/>
      <c r="BZ95" s="827"/>
      <c r="CA95" s="827"/>
      <c r="CB95" s="827"/>
      <c r="CC95" s="827"/>
      <c r="CD95" s="827"/>
      <c r="CE95" s="827"/>
      <c r="CF95" s="827"/>
      <c r="CG95" s="827"/>
      <c r="CH95" s="827"/>
      <c r="CI95" s="827"/>
      <c r="CJ95" s="827"/>
      <c r="CK95" s="827"/>
      <c r="CL95" s="827"/>
      <c r="CM95" s="834">
        <v>140000000</v>
      </c>
      <c r="CN95" s="834">
        <v>120999000</v>
      </c>
      <c r="CO95" s="834">
        <v>120999000</v>
      </c>
      <c r="CP95" s="834">
        <v>120999000</v>
      </c>
      <c r="CQ95" s="829"/>
      <c r="CR95" s="837"/>
      <c r="CS95" s="837"/>
      <c r="CT95" s="837"/>
      <c r="CU95" s="829"/>
      <c r="CV95" s="837"/>
      <c r="CW95" s="837"/>
      <c r="CX95" s="837"/>
      <c r="CY95" s="829"/>
      <c r="CZ95" s="837"/>
      <c r="DA95" s="837"/>
      <c r="DB95" s="837"/>
      <c r="DC95" s="829"/>
      <c r="DD95" s="837"/>
      <c r="DE95" s="837"/>
      <c r="DF95" s="837"/>
      <c r="DG95" s="829"/>
      <c r="DH95" s="837"/>
      <c r="DI95" s="837"/>
      <c r="DJ95" s="837"/>
      <c r="DK95" s="829"/>
      <c r="DL95" s="837"/>
      <c r="DM95" s="837"/>
      <c r="DN95" s="837"/>
      <c r="DO95" s="837"/>
      <c r="DP95" s="837">
        <v>0</v>
      </c>
      <c r="DQ95" s="837">
        <v>0</v>
      </c>
      <c r="DR95" s="837">
        <v>0</v>
      </c>
      <c r="DS95" s="823"/>
      <c r="DT95" s="837">
        <v>0</v>
      </c>
      <c r="DU95" s="837">
        <v>0</v>
      </c>
      <c r="DV95" s="837">
        <v>0</v>
      </c>
      <c r="DW95" s="823"/>
      <c r="DX95" s="837">
        <v>0</v>
      </c>
      <c r="DY95" s="837">
        <v>0</v>
      </c>
      <c r="DZ95" s="837">
        <v>0</v>
      </c>
      <c r="EA95" s="828"/>
      <c r="EB95" s="828"/>
      <c r="EC95" s="827"/>
      <c r="ED95" s="827"/>
      <c r="EE95" s="858">
        <f t="shared" si="118"/>
        <v>140000000</v>
      </c>
      <c r="EF95" s="858">
        <f t="shared" si="119"/>
        <v>120999000</v>
      </c>
      <c r="EG95" s="858">
        <f t="shared" si="120"/>
        <v>120999000</v>
      </c>
      <c r="EH95" s="858">
        <f t="shared" si="120"/>
        <v>120999000</v>
      </c>
      <c r="EI95" s="725">
        <f t="shared" si="85"/>
        <v>0</v>
      </c>
      <c r="EJ95" s="838"/>
      <c r="EK95" s="813"/>
    </row>
    <row r="96" spans="1:141" ht="16.5" thickTop="1" thickBot="1" x14ac:dyDescent="0.3">
      <c r="A96" s="822" t="s">
        <v>1725</v>
      </c>
      <c r="B96" s="823">
        <v>0</v>
      </c>
      <c r="C96" s="823"/>
      <c r="D96" s="823"/>
      <c r="E96" s="823"/>
      <c r="F96" s="823"/>
      <c r="G96" s="823"/>
      <c r="H96" s="823"/>
      <c r="I96" s="823"/>
      <c r="J96" s="823"/>
      <c r="K96" s="823"/>
      <c r="L96" s="823"/>
      <c r="M96" s="823"/>
      <c r="N96" s="823"/>
      <c r="O96" s="823"/>
      <c r="P96" s="823"/>
      <c r="Q96" s="823"/>
      <c r="R96" s="823"/>
      <c r="S96" s="823"/>
      <c r="T96" s="823"/>
      <c r="U96" s="823"/>
      <c r="V96" s="823"/>
      <c r="W96" s="823"/>
      <c r="X96" s="823"/>
      <c r="Y96" s="823"/>
      <c r="Z96" s="823"/>
      <c r="AA96" s="823"/>
      <c r="AB96" s="823"/>
      <c r="AC96" s="823"/>
      <c r="AD96" s="823"/>
      <c r="AE96" s="823"/>
      <c r="AF96" s="823"/>
      <c r="AG96" s="823"/>
      <c r="AH96" s="823"/>
      <c r="AI96" s="823"/>
      <c r="AJ96" s="823"/>
      <c r="AK96" s="823"/>
      <c r="AL96" s="823"/>
      <c r="AM96" s="823"/>
      <c r="AN96" s="823"/>
      <c r="AO96" s="823"/>
      <c r="AP96" s="823"/>
      <c r="AQ96" s="823"/>
      <c r="AR96" s="823"/>
      <c r="AS96" s="823"/>
      <c r="AT96" s="823"/>
      <c r="AU96" s="823"/>
      <c r="AV96" s="823"/>
      <c r="AW96" s="823"/>
      <c r="AX96" s="823"/>
      <c r="AY96" s="823"/>
      <c r="AZ96" s="823"/>
      <c r="BA96" s="823"/>
      <c r="BB96" s="823"/>
      <c r="BC96" s="823"/>
      <c r="BD96" s="823"/>
      <c r="BE96" s="823"/>
      <c r="BF96" s="823"/>
      <c r="BG96" s="823"/>
      <c r="BH96" s="823"/>
      <c r="BI96" s="823"/>
      <c r="BJ96" s="823"/>
      <c r="BK96" s="823"/>
      <c r="BL96" s="823"/>
      <c r="BM96" s="823"/>
      <c r="BN96" s="823"/>
      <c r="BO96" s="823"/>
      <c r="BP96" s="823"/>
      <c r="BQ96" s="823"/>
      <c r="BR96" s="823"/>
      <c r="BS96" s="823"/>
      <c r="BT96" s="823"/>
      <c r="BU96" s="823"/>
      <c r="BV96" s="823"/>
      <c r="BW96" s="823"/>
      <c r="BX96" s="823"/>
      <c r="BY96" s="823"/>
      <c r="BZ96" s="823"/>
      <c r="CA96" s="823"/>
      <c r="CB96" s="823"/>
      <c r="CC96" s="823"/>
      <c r="CD96" s="823"/>
      <c r="CE96" s="823"/>
      <c r="CF96" s="823"/>
      <c r="CG96" s="823"/>
      <c r="CH96" s="823"/>
      <c r="CI96" s="823"/>
      <c r="CJ96" s="823"/>
      <c r="CK96" s="823"/>
      <c r="CL96" s="823"/>
      <c r="CM96" s="823"/>
      <c r="CN96" s="823"/>
      <c r="CO96" s="823"/>
      <c r="CP96" s="823"/>
      <c r="CQ96" s="823"/>
      <c r="CR96" s="823"/>
      <c r="CS96" s="823"/>
      <c r="CT96" s="823"/>
      <c r="CU96" s="823"/>
      <c r="CV96" s="823"/>
      <c r="CW96" s="823"/>
      <c r="CX96" s="823"/>
      <c r="CY96" s="823"/>
      <c r="CZ96" s="823"/>
      <c r="DA96" s="823"/>
      <c r="DB96" s="823"/>
      <c r="DC96" s="823"/>
      <c r="DD96" s="823"/>
      <c r="DE96" s="823"/>
      <c r="DF96" s="823"/>
      <c r="DG96" s="823"/>
      <c r="DH96" s="823"/>
      <c r="DI96" s="823"/>
      <c r="DJ96" s="823"/>
      <c r="DK96" s="823"/>
      <c r="DL96" s="823"/>
      <c r="DM96" s="823"/>
      <c r="DN96" s="823"/>
      <c r="DO96" s="823"/>
      <c r="DP96" s="823"/>
      <c r="DQ96" s="823"/>
      <c r="DR96" s="823"/>
      <c r="DS96" s="823"/>
      <c r="DT96" s="823"/>
      <c r="DU96" s="823"/>
      <c r="DV96" s="823"/>
      <c r="DW96" s="823"/>
      <c r="DX96" s="823"/>
      <c r="DY96" s="823"/>
      <c r="DZ96" s="823"/>
      <c r="EA96" s="823"/>
      <c r="EB96" s="823"/>
      <c r="EC96" s="823"/>
      <c r="ED96" s="823"/>
      <c r="EE96" s="857">
        <f t="shared" si="118"/>
        <v>0</v>
      </c>
      <c r="EF96" s="857">
        <f t="shared" si="119"/>
        <v>0</v>
      </c>
      <c r="EG96" s="857">
        <f t="shared" si="120"/>
        <v>0</v>
      </c>
      <c r="EH96" s="857">
        <f t="shared" si="120"/>
        <v>0</v>
      </c>
      <c r="EI96" s="824">
        <f t="shared" si="85"/>
        <v>0</v>
      </c>
      <c r="EK96" s="813"/>
    </row>
    <row r="97" spans="1:154" ht="27" thickTop="1" thickBot="1" x14ac:dyDescent="0.3">
      <c r="A97" s="822" t="s">
        <v>1721</v>
      </c>
      <c r="B97" s="823">
        <v>0</v>
      </c>
      <c r="C97" s="823"/>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c r="AS97" s="823"/>
      <c r="AT97" s="823"/>
      <c r="AU97" s="823"/>
      <c r="AV97" s="823"/>
      <c r="AW97" s="823"/>
      <c r="AX97" s="823"/>
      <c r="AY97" s="823"/>
      <c r="AZ97" s="823"/>
      <c r="BA97" s="823"/>
      <c r="BB97" s="823"/>
      <c r="BC97" s="823"/>
      <c r="BD97" s="823"/>
      <c r="BE97" s="823"/>
      <c r="BF97" s="823"/>
      <c r="BG97" s="823"/>
      <c r="BH97" s="823"/>
      <c r="BI97" s="823"/>
      <c r="BJ97" s="823"/>
      <c r="BK97" s="823"/>
      <c r="BL97" s="823"/>
      <c r="BM97" s="823"/>
      <c r="BN97" s="823"/>
      <c r="BO97" s="823"/>
      <c r="BP97" s="823"/>
      <c r="BQ97" s="823"/>
      <c r="BR97" s="823"/>
      <c r="BS97" s="823"/>
      <c r="BT97" s="823"/>
      <c r="BU97" s="823"/>
      <c r="BV97" s="823"/>
      <c r="BW97" s="823"/>
      <c r="BX97" s="823"/>
      <c r="BY97" s="823"/>
      <c r="BZ97" s="823"/>
      <c r="CA97" s="823"/>
      <c r="CB97" s="823"/>
      <c r="CC97" s="823"/>
      <c r="CD97" s="823"/>
      <c r="CE97" s="823"/>
      <c r="CF97" s="823"/>
      <c r="CG97" s="823"/>
      <c r="CH97" s="823"/>
      <c r="CI97" s="823"/>
      <c r="CJ97" s="823"/>
      <c r="CK97" s="823"/>
      <c r="CL97" s="823"/>
      <c r="CM97" s="823"/>
      <c r="CN97" s="823"/>
      <c r="CO97" s="823"/>
      <c r="CP97" s="823"/>
      <c r="CQ97" s="823"/>
      <c r="CR97" s="823"/>
      <c r="CS97" s="823"/>
      <c r="CT97" s="823"/>
      <c r="CU97" s="823"/>
      <c r="CV97" s="823"/>
      <c r="CW97" s="823"/>
      <c r="CX97" s="823"/>
      <c r="CY97" s="823"/>
      <c r="CZ97" s="823"/>
      <c r="DA97" s="823"/>
      <c r="DB97" s="823"/>
      <c r="DC97" s="823"/>
      <c r="DD97" s="823"/>
      <c r="DE97" s="823"/>
      <c r="DF97" s="823"/>
      <c r="DG97" s="823"/>
      <c r="DH97" s="823"/>
      <c r="DI97" s="823"/>
      <c r="DJ97" s="823"/>
      <c r="DK97" s="823"/>
      <c r="DL97" s="823"/>
      <c r="DM97" s="823"/>
      <c r="DN97" s="823"/>
      <c r="DO97" s="823"/>
      <c r="DP97" s="823"/>
      <c r="DQ97" s="823"/>
      <c r="DR97" s="823"/>
      <c r="DS97" s="823"/>
      <c r="DT97" s="823"/>
      <c r="DU97" s="823"/>
      <c r="DV97" s="823"/>
      <c r="DW97" s="823"/>
      <c r="DX97" s="823"/>
      <c r="DY97" s="823"/>
      <c r="DZ97" s="823"/>
      <c r="EA97" s="823"/>
      <c r="EB97" s="823"/>
      <c r="EC97" s="823"/>
      <c r="ED97" s="823"/>
      <c r="EE97" s="857">
        <f t="shared" si="118"/>
        <v>0</v>
      </c>
      <c r="EF97" s="857">
        <f t="shared" si="119"/>
        <v>0</v>
      </c>
      <c r="EG97" s="857">
        <f t="shared" si="120"/>
        <v>0</v>
      </c>
      <c r="EH97" s="857">
        <f t="shared" si="120"/>
        <v>0</v>
      </c>
      <c r="EI97" s="824">
        <f t="shared" si="85"/>
        <v>0</v>
      </c>
      <c r="EK97" s="813"/>
    </row>
    <row r="98" spans="1:154" ht="16.5" thickTop="1" thickBot="1" x14ac:dyDescent="0.3">
      <c r="A98" s="822" t="s">
        <v>1859</v>
      </c>
      <c r="B98" s="823">
        <v>0</v>
      </c>
      <c r="C98" s="823"/>
      <c r="D98" s="823"/>
      <c r="E98" s="823"/>
      <c r="F98" s="823"/>
      <c r="G98" s="823"/>
      <c r="H98" s="823"/>
      <c r="I98" s="823"/>
      <c r="J98" s="823"/>
      <c r="K98" s="823"/>
      <c r="L98" s="823"/>
      <c r="M98" s="823"/>
      <c r="N98" s="823"/>
      <c r="O98" s="823"/>
      <c r="P98" s="823"/>
      <c r="Q98" s="823"/>
      <c r="R98" s="823"/>
      <c r="S98" s="823"/>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c r="AS98" s="823"/>
      <c r="AT98" s="823"/>
      <c r="AU98" s="823"/>
      <c r="AV98" s="823"/>
      <c r="AW98" s="823"/>
      <c r="AX98" s="823"/>
      <c r="AY98" s="823"/>
      <c r="AZ98" s="823"/>
      <c r="BA98" s="823"/>
      <c r="BB98" s="823"/>
      <c r="BC98" s="823"/>
      <c r="BD98" s="823"/>
      <c r="BE98" s="823"/>
      <c r="BF98" s="823"/>
      <c r="BG98" s="823"/>
      <c r="BH98" s="823"/>
      <c r="BI98" s="823"/>
      <c r="BJ98" s="823"/>
      <c r="BK98" s="823"/>
      <c r="BL98" s="823"/>
      <c r="BM98" s="823"/>
      <c r="BN98" s="823"/>
      <c r="BO98" s="823"/>
      <c r="BP98" s="823"/>
      <c r="BQ98" s="823"/>
      <c r="BR98" s="823"/>
      <c r="BS98" s="823"/>
      <c r="BT98" s="823"/>
      <c r="BU98" s="823"/>
      <c r="BV98" s="823"/>
      <c r="BW98" s="823"/>
      <c r="BX98" s="823"/>
      <c r="BY98" s="823"/>
      <c r="BZ98" s="823"/>
      <c r="CA98" s="823"/>
      <c r="CB98" s="823"/>
      <c r="CC98" s="823"/>
      <c r="CD98" s="823"/>
      <c r="CE98" s="823"/>
      <c r="CF98" s="823"/>
      <c r="CG98" s="823"/>
      <c r="CH98" s="823"/>
      <c r="CI98" s="823"/>
      <c r="CJ98" s="823"/>
      <c r="CK98" s="823"/>
      <c r="CL98" s="823"/>
      <c r="CM98" s="823"/>
      <c r="CN98" s="823"/>
      <c r="CO98" s="823"/>
      <c r="CP98" s="823"/>
      <c r="CQ98" s="823"/>
      <c r="CR98" s="823"/>
      <c r="CS98" s="823"/>
      <c r="CT98" s="823"/>
      <c r="CU98" s="823"/>
      <c r="CV98" s="823"/>
      <c r="CW98" s="823"/>
      <c r="CX98" s="823"/>
      <c r="CY98" s="823"/>
      <c r="CZ98" s="823"/>
      <c r="DA98" s="823"/>
      <c r="DB98" s="823"/>
      <c r="DC98" s="823"/>
      <c r="DD98" s="823"/>
      <c r="DE98" s="823"/>
      <c r="DF98" s="823"/>
      <c r="DG98" s="823"/>
      <c r="DH98" s="823"/>
      <c r="DI98" s="823"/>
      <c r="DJ98" s="823"/>
      <c r="DK98" s="823"/>
      <c r="DL98" s="823"/>
      <c r="DM98" s="823"/>
      <c r="DN98" s="823"/>
      <c r="DO98" s="823"/>
      <c r="DP98" s="823"/>
      <c r="DQ98" s="823"/>
      <c r="DR98" s="823"/>
      <c r="DS98" s="823"/>
      <c r="DT98" s="823"/>
      <c r="DU98" s="823"/>
      <c r="DV98" s="823"/>
      <c r="DW98" s="823"/>
      <c r="DX98" s="823"/>
      <c r="DY98" s="823"/>
      <c r="DZ98" s="823"/>
      <c r="EA98" s="823"/>
      <c r="EB98" s="823"/>
      <c r="EC98" s="823"/>
      <c r="ED98" s="823"/>
      <c r="EE98" s="857">
        <f t="shared" si="118"/>
        <v>0</v>
      </c>
      <c r="EF98" s="857">
        <f t="shared" si="119"/>
        <v>0</v>
      </c>
      <c r="EG98" s="857">
        <f t="shared" si="120"/>
        <v>0</v>
      </c>
      <c r="EH98" s="857">
        <f t="shared" si="120"/>
        <v>0</v>
      </c>
      <c r="EI98" s="824">
        <f t="shared" si="85"/>
        <v>0</v>
      </c>
      <c r="EK98" s="813"/>
    </row>
    <row r="99" spans="1:154" s="863" customFormat="1" ht="36.75" customHeight="1" thickTop="1" thickBot="1" x14ac:dyDescent="0.3">
      <c r="A99" s="799" t="s">
        <v>2570</v>
      </c>
      <c r="B99" s="861">
        <f t="shared" ref="B99:BM99" si="127">+B4+B14+B82+B96+B97+B98</f>
        <v>186529074082</v>
      </c>
      <c r="C99" s="861">
        <f t="shared" si="127"/>
        <v>876906432</v>
      </c>
      <c r="D99" s="861">
        <f t="shared" si="127"/>
        <v>493026593</v>
      </c>
      <c r="E99" s="861">
        <f t="shared" si="127"/>
        <v>243200000</v>
      </c>
      <c r="F99" s="861">
        <f t="shared" si="127"/>
        <v>243200000</v>
      </c>
      <c r="G99" s="861">
        <f t="shared" si="127"/>
        <v>56411629</v>
      </c>
      <c r="H99" s="861">
        <f t="shared" si="127"/>
        <v>0</v>
      </c>
      <c r="I99" s="861">
        <f t="shared" si="127"/>
        <v>0</v>
      </c>
      <c r="J99" s="861">
        <f t="shared" si="127"/>
        <v>0</v>
      </c>
      <c r="K99" s="861">
        <f t="shared" si="127"/>
        <v>36008757</v>
      </c>
      <c r="L99" s="861">
        <f t="shared" si="127"/>
        <v>0</v>
      </c>
      <c r="M99" s="861">
        <f t="shared" si="127"/>
        <v>0</v>
      </c>
      <c r="N99" s="861">
        <f t="shared" si="127"/>
        <v>0</v>
      </c>
      <c r="O99" s="861">
        <f t="shared" si="127"/>
        <v>1633680</v>
      </c>
      <c r="P99" s="861">
        <f t="shared" si="127"/>
        <v>0</v>
      </c>
      <c r="Q99" s="861">
        <f t="shared" si="127"/>
        <v>0</v>
      </c>
      <c r="R99" s="861">
        <f t="shared" si="127"/>
        <v>0</v>
      </c>
      <c r="S99" s="861">
        <f t="shared" si="127"/>
        <v>31197109</v>
      </c>
      <c r="T99" s="861">
        <f t="shared" si="127"/>
        <v>0</v>
      </c>
      <c r="U99" s="861">
        <f t="shared" si="127"/>
        <v>0</v>
      </c>
      <c r="V99" s="861">
        <f t="shared" si="127"/>
        <v>0</v>
      </c>
      <c r="W99" s="861">
        <f t="shared" si="127"/>
        <v>54219081</v>
      </c>
      <c r="X99" s="861">
        <f t="shared" si="127"/>
        <v>0</v>
      </c>
      <c r="Y99" s="861">
        <f t="shared" si="127"/>
        <v>0</v>
      </c>
      <c r="Z99" s="861">
        <f t="shared" si="127"/>
        <v>0</v>
      </c>
      <c r="AA99" s="861">
        <f t="shared" si="127"/>
        <v>595498071</v>
      </c>
      <c r="AB99" s="861">
        <f t="shared" si="127"/>
        <v>488316167</v>
      </c>
      <c r="AC99" s="861">
        <f t="shared" si="127"/>
        <v>240276858</v>
      </c>
      <c r="AD99" s="861">
        <f t="shared" si="127"/>
        <v>240276858</v>
      </c>
      <c r="AE99" s="861">
        <f t="shared" si="127"/>
        <v>893411750</v>
      </c>
      <c r="AF99" s="861">
        <f t="shared" si="127"/>
        <v>313302322</v>
      </c>
      <c r="AG99" s="861">
        <f t="shared" si="127"/>
        <v>175282000</v>
      </c>
      <c r="AH99" s="861">
        <f t="shared" si="127"/>
        <v>175282000</v>
      </c>
      <c r="AI99" s="861">
        <f t="shared" si="127"/>
        <v>1740075678</v>
      </c>
      <c r="AJ99" s="861">
        <f t="shared" si="127"/>
        <v>1740075678</v>
      </c>
      <c r="AK99" s="861">
        <f t="shared" si="127"/>
        <v>851407000</v>
      </c>
      <c r="AL99" s="861">
        <f t="shared" si="127"/>
        <v>851407000</v>
      </c>
      <c r="AM99" s="861">
        <f t="shared" si="127"/>
        <v>571639809</v>
      </c>
      <c r="AN99" s="861">
        <f t="shared" si="127"/>
        <v>569704130</v>
      </c>
      <c r="AO99" s="861">
        <f t="shared" si="127"/>
        <v>569704130</v>
      </c>
      <c r="AP99" s="861">
        <f t="shared" si="127"/>
        <v>569704130</v>
      </c>
      <c r="AQ99" s="861">
        <f t="shared" si="127"/>
        <v>4185349680</v>
      </c>
      <c r="AR99" s="861">
        <f t="shared" si="127"/>
        <v>1399351584</v>
      </c>
      <c r="AS99" s="861">
        <f t="shared" si="127"/>
        <v>593630000</v>
      </c>
      <c r="AT99" s="861">
        <f t="shared" si="127"/>
        <v>593630000</v>
      </c>
      <c r="AU99" s="861">
        <f t="shared" si="127"/>
        <v>30823104</v>
      </c>
      <c r="AV99" s="861">
        <f t="shared" si="127"/>
        <v>0</v>
      </c>
      <c r="AW99" s="861">
        <f t="shared" si="127"/>
        <v>0</v>
      </c>
      <c r="AX99" s="861">
        <f t="shared" si="127"/>
        <v>0</v>
      </c>
      <c r="AY99" s="861">
        <f t="shared" si="127"/>
        <v>1062809</v>
      </c>
      <c r="AZ99" s="861">
        <f t="shared" si="127"/>
        <v>0</v>
      </c>
      <c r="BA99" s="861">
        <f t="shared" si="127"/>
        <v>0</v>
      </c>
      <c r="BB99" s="861">
        <f t="shared" si="127"/>
        <v>0</v>
      </c>
      <c r="BC99" s="861">
        <f t="shared" si="127"/>
        <v>79057608517</v>
      </c>
      <c r="BD99" s="861">
        <f t="shared" si="127"/>
        <v>78932170681</v>
      </c>
      <c r="BE99" s="861">
        <f t="shared" si="127"/>
        <v>65699767403</v>
      </c>
      <c r="BF99" s="861">
        <f t="shared" si="127"/>
        <v>65699767403</v>
      </c>
      <c r="BG99" s="861">
        <f t="shared" si="127"/>
        <v>13913780326</v>
      </c>
      <c r="BH99" s="861">
        <f t="shared" si="127"/>
        <v>13879107289</v>
      </c>
      <c r="BI99" s="861">
        <f t="shared" si="127"/>
        <v>13653086690</v>
      </c>
      <c r="BJ99" s="861">
        <f t="shared" si="127"/>
        <v>11717911279</v>
      </c>
      <c r="BK99" s="861">
        <f t="shared" si="127"/>
        <v>44606000000</v>
      </c>
      <c r="BL99" s="861">
        <f t="shared" si="127"/>
        <v>42900000000</v>
      </c>
      <c r="BM99" s="861">
        <f t="shared" si="127"/>
        <v>0</v>
      </c>
      <c r="BN99" s="861">
        <f t="shared" ref="BN99:DY99" si="128">+BN4+BN14+BN82+BN96+BN97+BN98</f>
        <v>0</v>
      </c>
      <c r="BO99" s="861">
        <f t="shared" si="128"/>
        <v>18495872</v>
      </c>
      <c r="BP99" s="861">
        <f t="shared" si="128"/>
        <v>0</v>
      </c>
      <c r="BQ99" s="861">
        <f t="shared" si="128"/>
        <v>0</v>
      </c>
      <c r="BR99" s="861">
        <f t="shared" si="128"/>
        <v>0</v>
      </c>
      <c r="BS99" s="861">
        <f t="shared" si="128"/>
        <v>13902435</v>
      </c>
      <c r="BT99" s="861">
        <f t="shared" si="128"/>
        <v>13902435</v>
      </c>
      <c r="BU99" s="861">
        <f t="shared" si="128"/>
        <v>13902435</v>
      </c>
      <c r="BV99" s="861">
        <f t="shared" si="128"/>
        <v>13902435</v>
      </c>
      <c r="BW99" s="861">
        <f t="shared" si="128"/>
        <v>27005</v>
      </c>
      <c r="BX99" s="861">
        <f t="shared" si="128"/>
        <v>0</v>
      </c>
      <c r="BY99" s="861">
        <f t="shared" si="128"/>
        <v>0</v>
      </c>
      <c r="BZ99" s="861">
        <f t="shared" si="128"/>
        <v>0</v>
      </c>
      <c r="CA99" s="861">
        <f t="shared" si="128"/>
        <v>2602344269</v>
      </c>
      <c r="CB99" s="861">
        <f t="shared" si="128"/>
        <v>293700000</v>
      </c>
      <c r="CC99" s="861">
        <f t="shared" si="128"/>
        <v>293700000</v>
      </c>
      <c r="CD99" s="861">
        <f t="shared" si="128"/>
        <v>293700000</v>
      </c>
      <c r="CE99" s="861">
        <f t="shared" si="128"/>
        <v>2919817193</v>
      </c>
      <c r="CF99" s="861">
        <f t="shared" si="128"/>
        <v>891623003</v>
      </c>
      <c r="CG99" s="861">
        <f t="shared" si="128"/>
        <v>831623003</v>
      </c>
      <c r="CH99" s="861">
        <f t="shared" si="128"/>
        <v>831623003</v>
      </c>
      <c r="CI99" s="861">
        <f t="shared" si="128"/>
        <v>6452718</v>
      </c>
      <c r="CJ99" s="861">
        <f t="shared" si="128"/>
        <v>0</v>
      </c>
      <c r="CK99" s="861">
        <f t="shared" si="128"/>
        <v>0</v>
      </c>
      <c r="CL99" s="861">
        <f t="shared" si="128"/>
        <v>0</v>
      </c>
      <c r="CM99" s="861">
        <f t="shared" si="128"/>
        <v>11259732783</v>
      </c>
      <c r="CN99" s="861">
        <f t="shared" si="128"/>
        <v>8323889806</v>
      </c>
      <c r="CO99" s="861">
        <f t="shared" si="128"/>
        <v>6250252301</v>
      </c>
      <c r="CP99" s="861">
        <f t="shared" si="128"/>
        <v>6250012301</v>
      </c>
      <c r="CQ99" s="861">
        <f t="shared" si="128"/>
        <v>5384680776</v>
      </c>
      <c r="CR99" s="861">
        <f t="shared" si="128"/>
        <v>2733820244</v>
      </c>
      <c r="CS99" s="861">
        <f t="shared" si="128"/>
        <v>2582426051</v>
      </c>
      <c r="CT99" s="861">
        <f t="shared" si="128"/>
        <v>2580426051</v>
      </c>
      <c r="CU99" s="861">
        <f t="shared" si="128"/>
        <v>22897665</v>
      </c>
      <c r="CV99" s="861">
        <f t="shared" si="128"/>
        <v>15282796</v>
      </c>
      <c r="CW99" s="861">
        <f t="shared" si="128"/>
        <v>15282796</v>
      </c>
      <c r="CX99" s="861">
        <f t="shared" si="128"/>
        <v>15282796</v>
      </c>
      <c r="CY99" s="861">
        <f t="shared" si="128"/>
        <v>621763391</v>
      </c>
      <c r="CZ99" s="861">
        <f t="shared" si="128"/>
        <v>586115772</v>
      </c>
      <c r="DA99" s="861">
        <f t="shared" si="128"/>
        <v>243393157</v>
      </c>
      <c r="DB99" s="861">
        <f t="shared" si="128"/>
        <v>243393157</v>
      </c>
      <c r="DC99" s="861">
        <f t="shared" si="128"/>
        <v>90000000</v>
      </c>
      <c r="DD99" s="861">
        <f t="shared" si="128"/>
        <v>82822518</v>
      </c>
      <c r="DE99" s="861">
        <f t="shared" si="128"/>
        <v>12822518</v>
      </c>
      <c r="DF99" s="861">
        <f t="shared" si="128"/>
        <v>12582518</v>
      </c>
      <c r="DG99" s="861">
        <f t="shared" si="128"/>
        <v>47346000</v>
      </c>
      <c r="DH99" s="861">
        <f t="shared" si="128"/>
        <v>0</v>
      </c>
      <c r="DI99" s="861">
        <f t="shared" si="128"/>
        <v>0</v>
      </c>
      <c r="DJ99" s="861">
        <f t="shared" si="128"/>
        <v>0</v>
      </c>
      <c r="DK99" s="861">
        <f t="shared" si="128"/>
        <v>32157524</v>
      </c>
      <c r="DL99" s="861">
        <f t="shared" si="128"/>
        <v>4000000</v>
      </c>
      <c r="DM99" s="861">
        <f t="shared" si="128"/>
        <v>4000000</v>
      </c>
      <c r="DN99" s="861">
        <f t="shared" si="128"/>
        <v>4000000</v>
      </c>
      <c r="DO99" s="861">
        <f t="shared" si="128"/>
        <v>16850643358</v>
      </c>
      <c r="DP99" s="861">
        <f t="shared" si="128"/>
        <v>16761974801</v>
      </c>
      <c r="DQ99" s="861">
        <f t="shared" si="128"/>
        <v>542910205</v>
      </c>
      <c r="DR99" s="861">
        <f t="shared" si="128"/>
        <v>542910205</v>
      </c>
      <c r="DS99" s="861">
        <f t="shared" si="128"/>
        <v>252000</v>
      </c>
      <c r="DT99" s="861">
        <f t="shared" si="128"/>
        <v>0</v>
      </c>
      <c r="DU99" s="861">
        <f t="shared" si="128"/>
        <v>0</v>
      </c>
      <c r="DV99" s="861">
        <f t="shared" si="128"/>
        <v>0</v>
      </c>
      <c r="DW99" s="861">
        <f t="shared" si="128"/>
        <v>540062</v>
      </c>
      <c r="DX99" s="861">
        <f t="shared" si="128"/>
        <v>0</v>
      </c>
      <c r="DY99" s="861">
        <f t="shared" si="128"/>
        <v>0</v>
      </c>
      <c r="DZ99" s="861">
        <f t="shared" ref="DZ99:EH99" si="129">+DZ4+DZ14+DZ82+DZ96+DZ97+DZ98</f>
        <v>0</v>
      </c>
      <c r="EA99" s="861">
        <f t="shared" si="129"/>
        <v>6394599</v>
      </c>
      <c r="EB99" s="861">
        <f t="shared" si="129"/>
        <v>0</v>
      </c>
      <c r="EC99" s="861">
        <f t="shared" si="129"/>
        <v>0</v>
      </c>
      <c r="ED99" s="861">
        <f t="shared" si="129"/>
        <v>0</v>
      </c>
      <c r="EE99" s="861">
        <f t="shared" si="129"/>
        <v>186529074082</v>
      </c>
      <c r="EF99" s="861">
        <f t="shared" si="129"/>
        <v>170422185819</v>
      </c>
      <c r="EG99" s="861">
        <f t="shared" si="129"/>
        <v>92816666547</v>
      </c>
      <c r="EH99" s="861">
        <f t="shared" si="129"/>
        <v>90879011136</v>
      </c>
      <c r="EI99" s="862"/>
    </row>
    <row r="100" spans="1:154" ht="15.75" thickTop="1" x14ac:dyDescent="0.25">
      <c r="CM100" s="865"/>
      <c r="CP100" s="865"/>
    </row>
    <row r="101" spans="1:154" s="866" customFormat="1" x14ac:dyDescent="0.25">
      <c r="A101" s="866" t="s">
        <v>2571</v>
      </c>
      <c r="B101" s="867">
        <f>+'Anexo 5.1 INGRESOS'!Q7</f>
        <v>186529074082</v>
      </c>
      <c r="C101" s="867">
        <f>+'Anexo 5.1 INGRESOS'!Q44</f>
        <v>876906432</v>
      </c>
      <c r="D101" s="867"/>
      <c r="E101" s="867"/>
      <c r="F101" s="867"/>
      <c r="G101" s="867">
        <f>+'Anexo 5.1 INGRESOS'!Q48</f>
        <v>56411629</v>
      </c>
      <c r="H101" s="867"/>
      <c r="I101" s="867"/>
      <c r="J101" s="867"/>
      <c r="K101" s="867">
        <f>+'Anexo 5.1 INGRESOS'!Q49</f>
        <v>36008757</v>
      </c>
      <c r="L101" s="867"/>
      <c r="M101" s="867"/>
      <c r="N101" s="867"/>
      <c r="O101" s="867">
        <f>+'Anexo 5.1 INGRESOS'!Q76</f>
        <v>1633680</v>
      </c>
      <c r="P101" s="867"/>
      <c r="Q101" s="867"/>
      <c r="R101" s="867"/>
      <c r="S101" s="868">
        <f>+'Anexo 5.1 INGRESOS'!Q104</f>
        <v>31197109</v>
      </c>
      <c r="T101" s="867"/>
      <c r="U101" s="867"/>
      <c r="V101" s="867"/>
      <c r="W101" s="867">
        <f>+'Anexo 5.1 INGRESOS'!Q329</f>
        <v>54219081</v>
      </c>
      <c r="X101" s="867"/>
      <c r="Y101" s="867"/>
      <c r="Z101" s="867"/>
      <c r="AA101" s="867">
        <f>+'Anexo 5.1 INGRESOS'!Q393</f>
        <v>595498071</v>
      </c>
      <c r="AB101" s="867"/>
      <c r="AC101" s="867"/>
      <c r="AD101" s="867"/>
      <c r="AE101" s="869">
        <f>+'Anexo 5.1 INGRESOS'!Q31</f>
        <v>893411750</v>
      </c>
      <c r="AF101" s="870"/>
      <c r="AG101" s="870"/>
      <c r="AH101" s="870"/>
      <c r="AI101" s="869">
        <f>+'Anexo 5.1 INGRESOS'!Q32</f>
        <v>1740075678</v>
      </c>
      <c r="AJ101" s="870"/>
      <c r="AK101" s="870"/>
      <c r="AL101" s="870"/>
      <c r="AM101" s="871">
        <f>+'Anexo 5.1 INGRESOS'!Q52</f>
        <v>571639809</v>
      </c>
      <c r="AN101" s="870"/>
      <c r="AO101" s="870"/>
      <c r="AP101" s="870"/>
      <c r="AQ101" s="871">
        <f>+'Anexo 5.1 INGRESOS'!Q53</f>
        <v>4185349680</v>
      </c>
      <c r="AR101" s="870"/>
      <c r="AS101" s="870"/>
      <c r="AT101" s="870"/>
      <c r="AU101" s="871">
        <f>+'Anexo 5.1 INGRESOS'!Q103</f>
        <v>30823104</v>
      </c>
      <c r="AV101" s="870"/>
      <c r="AW101" s="870"/>
      <c r="AX101" s="870"/>
      <c r="AY101" s="871">
        <f>+'Anexo 5.1 INGRESOS'!Q325</f>
        <v>1062809</v>
      </c>
      <c r="AZ101" s="870"/>
      <c r="BA101" s="870"/>
      <c r="BB101" s="870"/>
      <c r="BC101" s="869">
        <f>+'Anexo 5.1 INGRESOS'!Q532</f>
        <v>79057608517</v>
      </c>
      <c r="BD101" s="870"/>
      <c r="BE101" s="870"/>
      <c r="BF101" s="870"/>
      <c r="BG101" s="869">
        <f>+'Anexo 5.1 INGRESOS'!Q68</f>
        <v>13913780326</v>
      </c>
      <c r="BH101" s="870"/>
      <c r="BI101" s="870"/>
      <c r="BJ101" s="870"/>
      <c r="BK101" s="869">
        <f>+'Anexo 5.1 INGRESOS'!Q371</f>
        <v>44606000000</v>
      </c>
      <c r="BL101" s="870"/>
      <c r="BM101" s="870"/>
      <c r="BN101" s="870"/>
      <c r="BO101" s="869">
        <f>+'Anexo 5.1 INGRESOS'!Q60</f>
        <v>18495872</v>
      </c>
      <c r="BP101" s="870"/>
      <c r="BQ101" s="870"/>
      <c r="BR101" s="870"/>
      <c r="BS101" s="869">
        <f>+'Anexo 5.1 INGRESOS'!Q61</f>
        <v>13902435</v>
      </c>
      <c r="BT101" s="870"/>
      <c r="BU101" s="870"/>
      <c r="BV101" s="870"/>
      <c r="BW101" s="871">
        <f>+'Anexo 5.1 INGRESOS'!Q327</f>
        <v>27005</v>
      </c>
      <c r="BX101" s="870"/>
      <c r="BY101" s="870"/>
      <c r="BZ101" s="870"/>
      <c r="CA101" s="869">
        <f>+'Anexo 5.1 INGRESOS'!Q56</f>
        <v>2602344269</v>
      </c>
      <c r="CB101" s="870"/>
      <c r="CC101" s="870"/>
      <c r="CD101" s="870"/>
      <c r="CE101" s="871">
        <f>+'Anexo 5.1 INGRESOS'!Q57</f>
        <v>2919817193</v>
      </c>
      <c r="CF101" s="870"/>
      <c r="CG101" s="870"/>
      <c r="CH101" s="870"/>
      <c r="CI101" s="869">
        <f>+'Anexo 5.1 INGRESOS'!Q326</f>
        <v>6452718</v>
      </c>
      <c r="CJ101" s="870"/>
      <c r="CK101" s="870"/>
      <c r="CL101" s="870"/>
      <c r="CM101" s="872">
        <f>+'Anexo 5.1 INGRESOS'!Q14</f>
        <v>11259732783</v>
      </c>
      <c r="CN101" s="870"/>
      <c r="CO101" s="870"/>
      <c r="CP101" s="870"/>
      <c r="CQ101" s="871">
        <f>+'Anexo 5.1 INGRESOS'!Q15</f>
        <v>5384680776</v>
      </c>
      <c r="CR101" s="870"/>
      <c r="CS101" s="870"/>
      <c r="CT101" s="870"/>
      <c r="CU101" s="871">
        <f>+'Anexo 5.1 INGRESOS'!Q18</f>
        <v>22897665</v>
      </c>
      <c r="CV101" s="870"/>
      <c r="CW101" s="870"/>
      <c r="CX101" s="870"/>
      <c r="CY101" s="871">
        <f>+'Anexo 5.1 INGRESOS'!Q196</f>
        <v>621763391</v>
      </c>
      <c r="CZ101" s="869"/>
      <c r="DA101" s="869"/>
      <c r="DB101" s="869"/>
      <c r="DC101" s="871">
        <f>+'Anexo 5.1 INGRESOS'!Q197</f>
        <v>90000000</v>
      </c>
      <c r="DD101" s="870"/>
      <c r="DE101" s="870"/>
      <c r="DF101" s="870"/>
      <c r="DG101" s="869">
        <f>+'Anexo 5.1 INGRESOS'!Q102</f>
        <v>47346000</v>
      </c>
      <c r="DH101" s="869"/>
      <c r="DI101" s="869"/>
      <c r="DJ101" s="869"/>
      <c r="DK101" s="869">
        <f>+'Anexo 5.1 INGRESOS'!Q317</f>
        <v>32157524</v>
      </c>
      <c r="DL101" s="870"/>
      <c r="DM101" s="870"/>
      <c r="DN101" s="870"/>
      <c r="DO101" s="869">
        <f>+'Anexo 5.1 INGRESOS'!Q204+'Anexo 5.1 INGRESOS'!Q518</f>
        <v>16850643358</v>
      </c>
      <c r="DP101" s="869"/>
      <c r="DQ101" s="869"/>
      <c r="DR101" s="869"/>
      <c r="DS101" s="869">
        <f>+'Anexo 5.1 INGRESOS'!Q320</f>
        <v>252000</v>
      </c>
      <c r="DT101" s="869"/>
      <c r="DU101" s="869"/>
      <c r="DV101" s="869"/>
      <c r="DW101" s="869">
        <f>+'Anexo 5.1 INGRESOS'!Q323</f>
        <v>540062</v>
      </c>
      <c r="DX101" s="869"/>
      <c r="DY101" s="869"/>
      <c r="DZ101" s="869"/>
      <c r="EA101" s="873">
        <f>+'Anexo 5.1 INGRESOS'!Q105</f>
        <v>6394599</v>
      </c>
      <c r="EB101" s="867"/>
      <c r="EC101" s="867"/>
      <c r="ED101" s="867"/>
      <c r="EE101" s="867">
        <v>186529074082</v>
      </c>
      <c r="EF101" s="867">
        <v>170422185819</v>
      </c>
      <c r="EG101" s="867">
        <v>92816666547</v>
      </c>
      <c r="EH101" s="867">
        <v>90879011136</v>
      </c>
      <c r="EI101" s="867"/>
      <c r="EJ101" s="867"/>
      <c r="EK101" s="867"/>
      <c r="EL101" s="867"/>
      <c r="EM101" s="867"/>
      <c r="EN101" s="867"/>
      <c r="EO101" s="867"/>
      <c r="EP101" s="867"/>
      <c r="EQ101" s="867"/>
    </row>
    <row r="102" spans="1:154" x14ac:dyDescent="0.25">
      <c r="A102" s="866" t="s">
        <v>2572</v>
      </c>
      <c r="B102" s="874">
        <f>+B101-B99</f>
        <v>0</v>
      </c>
      <c r="C102" s="874">
        <f>+C101-C99</f>
        <v>0</v>
      </c>
      <c r="D102" s="866"/>
      <c r="E102" s="866"/>
      <c r="F102" s="866"/>
      <c r="G102" s="874">
        <f>+G101-G99</f>
        <v>0</v>
      </c>
      <c r="H102" s="866"/>
      <c r="I102" s="866"/>
      <c r="J102" s="866"/>
      <c r="K102" s="874">
        <f>+K101-K99</f>
        <v>0</v>
      </c>
      <c r="L102" s="866"/>
      <c r="M102" s="866"/>
      <c r="N102" s="866"/>
      <c r="O102" s="874">
        <f>+O101-O99</f>
        <v>0</v>
      </c>
      <c r="P102" s="875"/>
      <c r="Q102" s="866"/>
      <c r="R102" s="875"/>
      <c r="S102" s="876">
        <f>+S101-S99</f>
        <v>0</v>
      </c>
      <c r="T102" s="875"/>
      <c r="U102" s="866"/>
      <c r="V102" s="866"/>
      <c r="W102" s="867">
        <f>+W101-W99</f>
        <v>0</v>
      </c>
      <c r="X102" s="866"/>
      <c r="Y102" s="866"/>
      <c r="Z102" s="866"/>
      <c r="AA102" s="866">
        <f>+AA101-AA99</f>
        <v>0</v>
      </c>
      <c r="AB102" s="866"/>
      <c r="AC102" s="866"/>
      <c r="AD102" s="866"/>
      <c r="AE102" s="866">
        <f>+AE101-AE99</f>
        <v>0</v>
      </c>
      <c r="AF102" s="866"/>
      <c r="AG102" s="866"/>
      <c r="AH102" s="866"/>
      <c r="AI102" s="866">
        <f>+AI101-AI99</f>
        <v>0</v>
      </c>
      <c r="AJ102" s="866"/>
      <c r="AK102" s="866"/>
      <c r="AL102" s="866"/>
      <c r="AM102" s="872">
        <f>+AM101-AM99</f>
        <v>0</v>
      </c>
      <c r="AN102" s="866"/>
      <c r="AO102" s="866"/>
      <c r="AP102" s="866"/>
      <c r="AQ102" s="877">
        <f>+AQ101-AQ99</f>
        <v>0</v>
      </c>
      <c r="AR102" s="866"/>
      <c r="AS102" s="866"/>
      <c r="AT102" s="866"/>
      <c r="AU102" s="877">
        <f>+AU101-AU99</f>
        <v>0</v>
      </c>
      <c r="AV102" s="866"/>
      <c r="AW102" s="866"/>
      <c r="AX102" s="866"/>
      <c r="AY102" s="877">
        <f>+AY101-AY99</f>
        <v>0</v>
      </c>
      <c r="AZ102" s="866"/>
      <c r="BA102" s="866"/>
      <c r="BB102" s="866"/>
      <c r="BC102" s="865">
        <f>+BC101-BC99</f>
        <v>0</v>
      </c>
      <c r="BD102" s="866"/>
      <c r="BE102" s="866"/>
      <c r="BF102" s="866"/>
      <c r="BG102" s="874">
        <f>+BG101-BG99</f>
        <v>0</v>
      </c>
      <c r="BH102" s="866"/>
      <c r="BI102" s="866"/>
      <c r="BJ102" s="866"/>
      <c r="BK102" s="874">
        <f>+BK101-BK99</f>
        <v>0</v>
      </c>
      <c r="BL102" s="866"/>
      <c r="BM102" s="866"/>
      <c r="BN102" s="866"/>
      <c r="BO102" s="874">
        <f>+BO101-BO99</f>
        <v>0</v>
      </c>
      <c r="BP102" s="866"/>
      <c r="BQ102" s="866"/>
      <c r="BR102" s="866"/>
      <c r="BS102" s="874">
        <f>+BS101-BS99</f>
        <v>0</v>
      </c>
      <c r="BT102" s="866"/>
      <c r="BU102" s="866"/>
      <c r="BV102" s="866"/>
      <c r="BW102" s="876">
        <f>+BW101-BW99</f>
        <v>0</v>
      </c>
      <c r="BX102" s="866"/>
      <c r="BY102" s="866"/>
      <c r="BZ102" s="866"/>
      <c r="CA102" s="874">
        <f>+CA101-CA99</f>
        <v>0</v>
      </c>
      <c r="CB102" s="866"/>
      <c r="CC102" s="866"/>
      <c r="CD102" s="866"/>
      <c r="CE102" s="876">
        <f>+CE101-CE99</f>
        <v>0</v>
      </c>
      <c r="CF102" s="866"/>
      <c r="CG102" s="866"/>
      <c r="CH102" s="866"/>
      <c r="CI102" s="874">
        <f>+CI101-CI99</f>
        <v>0</v>
      </c>
      <c r="CJ102" s="866"/>
      <c r="CK102" s="866"/>
      <c r="CL102" s="866"/>
      <c r="CM102" s="876">
        <f>+CM101-CM99</f>
        <v>0</v>
      </c>
      <c r="CN102" s="866"/>
      <c r="CO102" s="866"/>
      <c r="CP102" s="866"/>
      <c r="CQ102" s="868">
        <f>+CQ101-CQ99</f>
        <v>0</v>
      </c>
      <c r="CR102" s="866"/>
      <c r="CS102" s="866"/>
      <c r="CT102" s="866"/>
      <c r="CU102" s="876">
        <f>+CU101-CU99</f>
        <v>0</v>
      </c>
      <c r="CV102" s="866"/>
      <c r="CW102" s="866"/>
      <c r="CX102" s="866"/>
      <c r="CY102" s="868">
        <f>+CY101-CY99</f>
        <v>0</v>
      </c>
      <c r="CZ102" s="867"/>
      <c r="DA102" s="867"/>
      <c r="DB102" s="867"/>
      <c r="DC102" s="868">
        <f>+DC101-DC99</f>
        <v>0</v>
      </c>
      <c r="DD102" s="866"/>
      <c r="DE102" s="866"/>
      <c r="DF102" s="866"/>
      <c r="DG102" s="867">
        <f>+DG101-DG99</f>
        <v>0</v>
      </c>
      <c r="DH102" s="867"/>
      <c r="DI102" s="867"/>
      <c r="DJ102" s="867"/>
      <c r="DK102" s="867">
        <f>+DK101-DK99</f>
        <v>0</v>
      </c>
      <c r="DL102" s="866"/>
      <c r="DM102" s="866"/>
      <c r="DN102" s="866"/>
      <c r="DO102" s="867">
        <f>+DO101-DO99</f>
        <v>0</v>
      </c>
      <c r="DP102" s="867"/>
      <c r="DQ102" s="867"/>
      <c r="DR102" s="867"/>
      <c r="DS102" s="867">
        <f>+DS101-DS99</f>
        <v>0</v>
      </c>
      <c r="DT102" s="867"/>
      <c r="DU102" s="867"/>
      <c r="DV102" s="867"/>
      <c r="DW102" s="867">
        <f>+DW101-DW99</f>
        <v>0</v>
      </c>
      <c r="DX102" s="867"/>
      <c r="DY102" s="867"/>
      <c r="DZ102" s="867"/>
      <c r="EA102" s="867">
        <f>+EA101-EA99</f>
        <v>0</v>
      </c>
      <c r="EB102" s="875"/>
      <c r="EC102" s="866"/>
      <c r="ED102" s="866"/>
      <c r="EE102" s="866"/>
      <c r="EF102" s="904">
        <f>+EF101-EF99</f>
        <v>0</v>
      </c>
      <c r="EG102" s="878">
        <f>+EG101-EG99</f>
        <v>0</v>
      </c>
      <c r="EH102" s="878">
        <f>+EH101-EH99</f>
        <v>0</v>
      </c>
      <c r="EI102" s="866">
        <f>+EI101-EI99</f>
        <v>0</v>
      </c>
      <c r="EJ102" s="866"/>
      <c r="EK102" s="866"/>
      <c r="EL102" s="866"/>
      <c r="EM102" s="866"/>
      <c r="EN102" s="866"/>
      <c r="EO102" s="866"/>
      <c r="EP102" s="866"/>
      <c r="EQ102" s="866"/>
      <c r="ER102" s="866"/>
      <c r="ES102" s="866"/>
      <c r="ET102" s="866"/>
      <c r="EU102" s="866"/>
      <c r="EV102" s="866"/>
      <c r="EW102" s="866"/>
      <c r="EX102" s="866"/>
    </row>
    <row r="103" spans="1:154" x14ac:dyDescent="0.25">
      <c r="CQ103" s="869"/>
      <c r="EF103" s="879"/>
    </row>
    <row r="104" spans="1:154" x14ac:dyDescent="0.25">
      <c r="B104" s="869"/>
      <c r="AI104" s="880"/>
      <c r="AM104" s="865"/>
      <c r="AQ104" s="867"/>
      <c r="AU104" s="865"/>
      <c r="AY104" s="865"/>
      <c r="CQ104" s="585"/>
      <c r="EE104" s="867"/>
      <c r="EF104" s="867"/>
      <c r="EG104" s="867"/>
      <c r="EH104" s="867"/>
    </row>
    <row r="105" spans="1:154" x14ac:dyDescent="0.25">
      <c r="B105" s="585"/>
      <c r="BO105" s="865">
        <f>+BO101-BO3</f>
        <v>0</v>
      </c>
      <c r="BS105" s="865">
        <f>+BS101-BS3</f>
        <v>0</v>
      </c>
      <c r="CQ105" s="585"/>
      <c r="EE105" s="880"/>
    </row>
    <row r="106" spans="1:154" x14ac:dyDescent="0.25">
      <c r="CA106" s="865">
        <f>+CA101-CA3</f>
        <v>0</v>
      </c>
      <c r="CD106" s="865"/>
      <c r="CE106" s="865"/>
      <c r="CH106" s="865"/>
      <c r="EE106" s="869"/>
    </row>
    <row r="107" spans="1:154" x14ac:dyDescent="0.25">
      <c r="S107" s="881">
        <f>+S101-S3</f>
        <v>0</v>
      </c>
      <c r="EA107" s="881">
        <f>+EA101-EA3</f>
        <v>0</v>
      </c>
      <c r="EE107" s="585"/>
    </row>
    <row r="108" spans="1:154" x14ac:dyDescent="0.25">
      <c r="W108" s="880"/>
    </row>
  </sheetData>
  <mergeCells count="35">
    <mergeCell ref="S1:V1"/>
    <mergeCell ref="A1:A2"/>
    <mergeCell ref="C1:F1"/>
    <mergeCell ref="G1:J1"/>
    <mergeCell ref="K1:N1"/>
    <mergeCell ref="O1:R1"/>
    <mergeCell ref="BO1:BR1"/>
    <mergeCell ref="W1:Z1"/>
    <mergeCell ref="AA1:AD1"/>
    <mergeCell ref="AE1:AH1"/>
    <mergeCell ref="AI1:AL1"/>
    <mergeCell ref="AM1:AP1"/>
    <mergeCell ref="AQ1:AT1"/>
    <mergeCell ref="AU1:AX1"/>
    <mergeCell ref="AY1:BB1"/>
    <mergeCell ref="BC1:BF1"/>
    <mergeCell ref="BG1:BJ1"/>
    <mergeCell ref="BK1:BN1"/>
    <mergeCell ref="DK1:DN1"/>
    <mergeCell ref="BS1:BV1"/>
    <mergeCell ref="BW1:BZ1"/>
    <mergeCell ref="CA1:CD1"/>
    <mergeCell ref="CE1:CH1"/>
    <mergeCell ref="CI1:CL1"/>
    <mergeCell ref="CM1:CP1"/>
    <mergeCell ref="CQ1:CT1"/>
    <mergeCell ref="CU1:CX1"/>
    <mergeCell ref="CY1:DB1"/>
    <mergeCell ref="DC1:DF1"/>
    <mergeCell ref="DG1:DJ1"/>
    <mergeCell ref="DO1:DR1"/>
    <mergeCell ref="DS1:DV1"/>
    <mergeCell ref="DW1:DZ1"/>
    <mergeCell ref="EA1:ED1"/>
    <mergeCell ref="EE1:EH1"/>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workbookViewId="0">
      <selection activeCell="D36" sqref="D36"/>
    </sheetView>
  </sheetViews>
  <sheetFormatPr baseColWidth="10" defaultColWidth="11.28515625" defaultRowHeight="12.75" x14ac:dyDescent="0.2"/>
  <cols>
    <col min="1" max="16384" width="11.28515625" style="469"/>
  </cols>
  <sheetData>
    <row r="1" spans="1:2" x14ac:dyDescent="0.2">
      <c r="A1" s="469" t="s">
        <v>1482</v>
      </c>
      <c r="B1" s="470" t="s">
        <v>1156</v>
      </c>
    </row>
    <row r="2" spans="1:2" x14ac:dyDescent="0.2">
      <c r="A2" s="469" t="s">
        <v>1483</v>
      </c>
      <c r="B2" s="470" t="s">
        <v>131</v>
      </c>
    </row>
    <row r="3" spans="1:2" x14ac:dyDescent="0.2">
      <c r="A3" s="469" t="s">
        <v>1484</v>
      </c>
      <c r="B3" s="470" t="s">
        <v>162</v>
      </c>
    </row>
    <row r="4" spans="1:2" x14ac:dyDescent="0.2">
      <c r="A4" s="469" t="s">
        <v>1485</v>
      </c>
      <c r="B4" s="470" t="s">
        <v>183</v>
      </c>
    </row>
    <row r="5" spans="1:2" x14ac:dyDescent="0.2">
      <c r="A5" s="469" t="s">
        <v>1486</v>
      </c>
      <c r="B5" s="470" t="s">
        <v>200</v>
      </c>
    </row>
    <row r="6" spans="1:2" x14ac:dyDescent="0.2">
      <c r="A6" s="469" t="s">
        <v>1487</v>
      </c>
      <c r="B6" s="470" t="s">
        <v>220</v>
      </c>
    </row>
    <row r="7" spans="1:2" x14ac:dyDescent="0.2">
      <c r="A7" s="469" t="s">
        <v>1488</v>
      </c>
      <c r="B7" s="470" t="s">
        <v>280</v>
      </c>
    </row>
    <row r="8" spans="1:2" x14ac:dyDescent="0.2">
      <c r="A8" s="469" t="s">
        <v>1489</v>
      </c>
      <c r="B8" s="470" t="s">
        <v>314</v>
      </c>
    </row>
    <row r="9" spans="1:2" x14ac:dyDescent="0.2">
      <c r="A9" s="469" t="s">
        <v>1490</v>
      </c>
      <c r="B9" s="470" t="s">
        <v>348</v>
      </c>
    </row>
    <row r="10" spans="1:2" x14ac:dyDescent="0.2">
      <c r="A10" s="469" t="s">
        <v>1491</v>
      </c>
      <c r="B10" s="470" t="s">
        <v>396</v>
      </c>
    </row>
    <row r="11" spans="1:2" x14ac:dyDescent="0.2">
      <c r="B11" s="470" t="s">
        <v>418</v>
      </c>
    </row>
    <row r="12" spans="1:2" x14ac:dyDescent="0.2">
      <c r="B12" s="470" t="s">
        <v>449</v>
      </c>
    </row>
    <row r="13" spans="1:2" x14ac:dyDescent="0.2">
      <c r="B13" s="470" t="s">
        <v>480</v>
      </c>
    </row>
    <row r="14" spans="1:2" x14ac:dyDescent="0.2">
      <c r="B14" s="470" t="s">
        <v>526</v>
      </c>
    </row>
    <row r="15" spans="1:2" x14ac:dyDescent="0.2">
      <c r="B15" s="470" t="s">
        <v>557</v>
      </c>
    </row>
    <row r="16" spans="1:2" x14ac:dyDescent="0.2">
      <c r="B16" s="470" t="s">
        <v>585</v>
      </c>
    </row>
    <row r="17" spans="2:2" x14ac:dyDescent="0.2">
      <c r="B17" s="470" t="s">
        <v>634</v>
      </c>
    </row>
    <row r="18" spans="2:2" x14ac:dyDescent="0.2">
      <c r="B18" s="470" t="s">
        <v>655</v>
      </c>
    </row>
    <row r="19" spans="2:2" x14ac:dyDescent="0.2">
      <c r="B19" s="470" t="s">
        <v>704</v>
      </c>
    </row>
    <row r="20" spans="2:2" x14ac:dyDescent="0.2">
      <c r="B20" s="470" t="s">
        <v>779</v>
      </c>
    </row>
    <row r="21" spans="2:2" x14ac:dyDescent="0.2">
      <c r="B21" s="470" t="s">
        <v>839</v>
      </c>
    </row>
    <row r="22" spans="2:2" x14ac:dyDescent="0.2">
      <c r="B22" s="470" t="s">
        <v>887</v>
      </c>
    </row>
    <row r="23" spans="2:2" x14ac:dyDescent="0.2">
      <c r="B23" s="470" t="s">
        <v>951</v>
      </c>
    </row>
    <row r="24" spans="2:2" x14ac:dyDescent="0.2">
      <c r="B24" s="470" t="s">
        <v>972</v>
      </c>
    </row>
    <row r="25" spans="2:2" x14ac:dyDescent="0.2">
      <c r="B25" s="470" t="s">
        <v>1001</v>
      </c>
    </row>
    <row r="26" spans="2:2" x14ac:dyDescent="0.2">
      <c r="B26" s="470" t="s">
        <v>1074</v>
      </c>
    </row>
    <row r="27" spans="2:2" x14ac:dyDescent="0.2">
      <c r="B27" s="470" t="s">
        <v>1121</v>
      </c>
    </row>
    <row r="28" spans="2:2" x14ac:dyDescent="0.2">
      <c r="B28" s="469" t="s">
        <v>1491</v>
      </c>
    </row>
  </sheetData>
  <hyperlinks>
    <hyperlink ref="B1" location="'1POMCAS'!A1" display="Porcentaje de avance en la formulación y/o ajuste de los Planes de Ordenación y Manejo de Cuencas (POMCAS), Planes de Manejo de Acuíferos (PMA) y Planes de Manejo de Microcuencas (PMM)"/>
    <hyperlink ref="B2" location="'2PORH'!A1" display="Porcentaje de cuerpos de agua con planes de ordenamiento del recurso hídrico (PORH) adoptados"/>
    <hyperlink ref="B3" location="'3PSMV'!_Toc467769470" display="Porcentaje de Planes de Saneamiento y Manejo de Vertimientos (PSMV) con seguimiento"/>
    <hyperlink ref="B4" location="'4UsoAguas'!_Toc467769471" display="Porcentaje de cuerpos de agua con reglamentación del uso de las aguas"/>
    <hyperlink ref="B5" location="'5PUEAA'!_Toc467769472" display="Porcentaje de Programas de Uso Eficiente y Ahorro del Agua (PUEAA) con seguimiento"/>
    <hyperlink ref="B6" location="'6POMCASejec'!_Toc467769473" display="Porcentaje de Planes de Ordenación y Manejo de Cuencas (POMCAS), Planes de Manejo de Acuíferos (PMA) y Planes de Manejo de Microcuencas (PMM) en ejecución"/>
    <hyperlink ref="B7" location="'7Clima'!_Toc467769474" display="Porcentaje de entes territoriales asesorados en la incorporación, planificación y ejecución de acciones relacionadas con cambio climático en el marco de los instrumentos de planificación territorial"/>
    <hyperlink ref="B8" location="'8Suelo'!_Toc467769475" display="Porcentaje de suelos degradados en recuperación o rehabilitación"/>
    <hyperlink ref="B9" location="'9RUNAP'!_Toc467769476" display="Porcentaje de la superficie de áreas protegidas regionales declaradas, homologadas o recategorizadas, inscritas en el RUNAP"/>
    <hyperlink ref="B10" location="'10Paramos'!_Toc467769477" display="Porcentaje de páramos delimitados por el MADS, con zonificación y régimen de usos adoptados por la CAR"/>
    <hyperlink ref="B11" location="'11Forest'!_Toc467769478" display="Porcentaje de avance en la formulación del Plan de Ordenación Forestal"/>
    <hyperlink ref="B12" location="'12PlanesAP'!_Toc467769479" display="Porcentaje de áreas protegidas con planes de manejo en ejecución"/>
    <hyperlink ref="B13" location="'13Amenaz'!_Toc467769480" display="Porcentaje de especies amenazadas con medidas de conservación y manejo en ejecución"/>
    <hyperlink ref="B14" location="'14Invasor'!_Toc467769481" display="Porcentaje de especies invasoras con medidas de prevención, control y manejo en ejecución"/>
    <hyperlink ref="B15" location="'15Restaura'!_Toc467769482" display="Porcentaje de áreas de ecosistemas en restauración, rehabilitación y reforestación"/>
    <hyperlink ref="B16" location="'16MIZC'!_Toc467769483" display="Implementación de acciones en manejo integrado de zonas costeras"/>
    <hyperlink ref="B17" location="'17PGIRS'!_Toc467769484" display="Porcentaje de Planes de Gestión Integral de Residuos Sólidos (PGIRS) con seguimiento a metas de aprovechamiento"/>
    <hyperlink ref="B18" location="'18Sector'!_Toc467769485" display="Porcentaje de sectores con acompañamiento para la reconversión hacia sistemas sostenibles de producción"/>
    <hyperlink ref="B19" location="'19GAU'!_Toc467769486" display="Porcentaje de ejecución de acciones en Gestión Ambiental Urbana"/>
    <hyperlink ref="B20" location="'20Negoc'!_Toc467769487" display="Implementación del Programa Regional de Negocios Verdes por la autoridad ambiental"/>
    <hyperlink ref="B22" location="'22Autor'!_Toc467769489" display="Porcentaje de autorizaciones ambientales con seguimiento"/>
    <hyperlink ref="B23" location="'23Sanc'!_Toc467769490" display="Porcentaje de Procesos Sancionatorios Resueltos"/>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25" location="'25Redes'!_Toc467769492" display="Porcentaje de redes y estaciones de monitoreo en operación"/>
    <hyperlink ref="B26" location="'26SIAC'!_Toc467769493" display="Porcentaje de actualización y reporte de la información en el SIAC"/>
    <hyperlink ref="B27" location="'27Educa'!_Toc467769494" display="Ejecución de Acciones en Educación Ambiental"/>
    <hyperlink ref="B21" location="'21TiempoT'!_Toc467769488" display="Tiempo promedio de trámite para la resolución de autorizaciones ambientales otorgadas por la corporación"/>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showGridLines="0" zoomScale="96" zoomScaleNormal="96" workbookViewId="0">
      <pane ySplit="5" topLeftCell="A24" activePane="bottomLeft" state="frozen"/>
      <selection activeCell="D4" sqref="D4"/>
      <selection pane="bottomLeft" activeCell="F26" sqref="F26"/>
    </sheetView>
  </sheetViews>
  <sheetFormatPr baseColWidth="10" defaultRowHeight="15" x14ac:dyDescent="0.25"/>
  <cols>
    <col min="1" max="1" width="3.7109375" bestFit="1" customWidth="1"/>
    <col min="2" max="2" width="52.85546875" customWidth="1"/>
    <col min="3" max="3" width="16.140625" customWidth="1"/>
    <col min="4" max="6" width="6.140625" customWidth="1"/>
    <col min="7" max="7" width="3.7109375" customWidth="1"/>
    <col min="8" max="8" width="6.140625" hidden="1" customWidth="1"/>
    <col min="9" max="9" width="5.28515625" hidden="1" customWidth="1"/>
    <col min="10" max="10" width="7" hidden="1" customWidth="1"/>
    <col min="11" max="11" width="4.28515625" hidden="1" customWidth="1"/>
    <col min="12" max="12" width="15" customWidth="1"/>
    <col min="13" max="13" width="22.28515625" customWidth="1"/>
    <col min="14" max="14" width="21.28515625" customWidth="1"/>
    <col min="15" max="15" width="2.28515625" customWidth="1"/>
    <col min="16" max="16" width="3.7109375" customWidth="1"/>
  </cols>
  <sheetData>
    <row r="1" spans="1:18" s="396" customFormat="1" ht="130.69999999999999" customHeight="1" thickBot="1" x14ac:dyDescent="0.3">
      <c r="A1" s="1004"/>
      <c r="B1" s="1005"/>
      <c r="C1" s="1005"/>
      <c r="D1" s="1005"/>
      <c r="E1" s="1005"/>
      <c r="F1" s="1005"/>
      <c r="G1" s="1005"/>
      <c r="H1" s="1005"/>
      <c r="I1" s="1005"/>
      <c r="J1" s="1005"/>
      <c r="K1" s="1005"/>
      <c r="L1" s="1005"/>
      <c r="M1" s="1005"/>
      <c r="N1" s="1005"/>
      <c r="O1" s="1005"/>
      <c r="P1" s="1006"/>
      <c r="Q1"/>
      <c r="R1"/>
    </row>
    <row r="2" spans="1:18"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18"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18" s="397" customFormat="1" ht="30.75" customHeight="1" thickBot="1" x14ac:dyDescent="0.3">
      <c r="A4" s="1010" t="s">
        <v>1319</v>
      </c>
      <c r="B4" s="1011"/>
      <c r="C4" s="432" t="str">
        <f>'Datos Generales'!C6</f>
        <v>2022-II</v>
      </c>
      <c r="D4" s="432"/>
      <c r="E4" s="432"/>
      <c r="F4" s="432"/>
      <c r="G4" s="432"/>
      <c r="H4" s="432"/>
      <c r="I4" s="432"/>
      <c r="J4" s="432"/>
      <c r="K4" s="432"/>
      <c r="L4" s="434"/>
      <c r="M4" s="434"/>
      <c r="N4" s="434"/>
      <c r="O4" s="434"/>
      <c r="P4" s="435"/>
      <c r="Q4"/>
      <c r="R4"/>
    </row>
    <row r="5" spans="1:18" ht="30.2" customHeight="1" x14ac:dyDescent="0.25">
      <c r="A5" s="370" t="s">
        <v>19</v>
      </c>
      <c r="B5" s="370" t="s">
        <v>1190</v>
      </c>
      <c r="C5" s="371">
        <v>2022</v>
      </c>
      <c r="D5" s="373"/>
      <c r="E5" s="373"/>
      <c r="F5" s="373"/>
      <c r="H5" s="368" t="s">
        <v>1253</v>
      </c>
      <c r="I5" s="368" t="s">
        <v>1254</v>
      </c>
      <c r="J5" s="368" t="s">
        <v>55</v>
      </c>
      <c r="L5" s="369" t="s">
        <v>1251</v>
      </c>
      <c r="M5" s="369" t="s">
        <v>1255</v>
      </c>
      <c r="N5" s="376" t="s">
        <v>55</v>
      </c>
      <c r="O5" s="379" t="s">
        <v>888</v>
      </c>
      <c r="P5" s="377"/>
    </row>
    <row r="6" spans="1:18" ht="63" customHeight="1" x14ac:dyDescent="0.25">
      <c r="A6" s="258" t="s">
        <v>1155</v>
      </c>
      <c r="B6" s="259" t="s">
        <v>1156</v>
      </c>
      <c r="C6" s="389">
        <f ca="1">+'1POMCAS'!D8</f>
        <v>0.2</v>
      </c>
      <c r="D6" s="374"/>
      <c r="E6" s="375"/>
      <c r="F6" s="375"/>
      <c r="H6" s="372" t="str">
        <f>'1POMCAS'!F11</f>
        <v>Acuerdo de Consejo Directivo No. 14 del 28 de Mayo de 2020</v>
      </c>
      <c r="I6" s="372" t="str">
        <f>+'1POMCAS'!E12</f>
        <v>Proyecto 4.1 PLANIFICACIÓN Y MANEJO DEL RECURSO HÍDRICO, Actividad 4.1.2 Formular Planes de Ordenación y Manejo de Cuencas - POMCA en el departamento</v>
      </c>
      <c r="J6" s="372">
        <f>+'1POMCAS'!E13</f>
        <v>0</v>
      </c>
      <c r="L6" s="391" t="str">
        <f t="shared" ref="L6:L32" ca="1" si="0">IF(ISNUMBER(C6),"",H6)</f>
        <v/>
      </c>
      <c r="M6" s="391" t="str">
        <f t="shared" ref="M6:M32" si="1">IF(ISNUMBER(I6),"",I6)</f>
        <v>Proyecto 4.1 PLANIFICACIÓN Y MANEJO DEL RECURSO HÍDRICO, Actividad 4.1.2 Formular Planes de Ordenación y Manejo de Cuencas - POMCA en el departamento</v>
      </c>
      <c r="N6" s="392" t="str">
        <f t="shared" ref="N6:N32" si="2">IF(ISNUMBER(J6),"",J6)</f>
        <v/>
      </c>
      <c r="O6" s="380" t="s">
        <v>888</v>
      </c>
      <c r="P6" s="378"/>
    </row>
    <row r="7" spans="1:18" ht="96" x14ac:dyDescent="0.25">
      <c r="A7" s="258" t="s">
        <v>1157</v>
      </c>
      <c r="B7" s="259" t="s">
        <v>131</v>
      </c>
      <c r="C7" s="390" t="str">
        <f>+'2PORH'!D8</f>
        <v>SIN INFORMACION</v>
      </c>
      <c r="D7" s="375"/>
      <c r="E7" s="375"/>
      <c r="F7" s="375"/>
      <c r="H7" s="372" t="str">
        <f>+'2PORH'!F11</f>
        <v>Acuerdo de Consejo Directivo No. 14 del 28 de Mayo de 2020</v>
      </c>
      <c r="I7" s="372" t="str">
        <f>+'2PORH'!E12</f>
        <v>Proyecto 4.1 PLANIFICACIÓN Y MANEJO DEL RECURSO HÍDRICO, Actividad 4.1.1 Formular y adoptar Planes de Ordenamiento del Recurso Hídrico - PORH en corrientes priorizadas del departamento</v>
      </c>
      <c r="J7" s="372" t="str">
        <f>+'2PORH'!E13</f>
        <v>De acuerdo a la estructura programatica del PAI 2020-2023, este IMG no tiene meta para la vigencia 2022, Acuerdo 024 de 2022</v>
      </c>
      <c r="L7" s="391" t="str">
        <f t="shared" si="0"/>
        <v>Acuerdo de Consejo Directivo No. 14 del 28 de Mayo de 2020</v>
      </c>
      <c r="M7" s="391" t="str">
        <f t="shared" si="1"/>
        <v>Proyecto 4.1 PLANIFICACIÓN Y MANEJO DEL RECURSO HÍDRICO, Actividad 4.1.1 Formular y adoptar Planes de Ordenamiento del Recurso Hídrico - PORH en corrientes priorizadas del departamento</v>
      </c>
      <c r="N7" s="392" t="str">
        <f t="shared" si="2"/>
        <v>De acuerdo a la estructura programatica del PAI 2020-2023, este IMG no tiene meta para la vigencia 2022, Acuerdo 024 de 2022</v>
      </c>
      <c r="O7" s="380" t="s">
        <v>888</v>
      </c>
      <c r="P7" s="378"/>
    </row>
    <row r="8" spans="1:18" ht="72" x14ac:dyDescent="0.25">
      <c r="A8" s="258" t="s">
        <v>1158</v>
      </c>
      <c r="B8" s="259" t="s">
        <v>162</v>
      </c>
      <c r="C8" s="390">
        <f>+'3PSMV'!D8</f>
        <v>1</v>
      </c>
      <c r="D8" s="375"/>
      <c r="E8" s="375"/>
      <c r="F8" s="375"/>
      <c r="H8" s="372">
        <f>+'3PSMV'!F11</f>
        <v>0</v>
      </c>
      <c r="I8" s="372" t="str">
        <f>+'3PSMV'!E12</f>
        <v>Proyecto 2.4 AUTORIDAD AMBIENTAL Y ADMINISTRACIÓN DE LOS RECURSOS NATURALES, Actividad 2.4.4. Seguimiento a los PSMV</v>
      </c>
      <c r="J8" s="372">
        <f>+'3PSMV'!E13</f>
        <v>0</v>
      </c>
      <c r="L8" s="391" t="str">
        <f t="shared" si="0"/>
        <v/>
      </c>
      <c r="M8" s="391" t="str">
        <f t="shared" si="1"/>
        <v>Proyecto 2.4 AUTORIDAD AMBIENTAL Y ADMINISTRACIÓN DE LOS RECURSOS NATURALES, Actividad 2.4.4. Seguimiento a los PSMV</v>
      </c>
      <c r="N8" s="392" t="str">
        <f t="shared" si="2"/>
        <v/>
      </c>
      <c r="O8" s="380" t="s">
        <v>888</v>
      </c>
      <c r="P8" s="378"/>
    </row>
    <row r="9" spans="1:18" ht="120" x14ac:dyDescent="0.25">
      <c r="A9" s="258" t="s">
        <v>1159</v>
      </c>
      <c r="B9" s="259" t="s">
        <v>183</v>
      </c>
      <c r="C9" s="390">
        <f>+'4UsoAguas'!D8</f>
        <v>1</v>
      </c>
      <c r="D9" s="375"/>
      <c r="E9" s="375"/>
      <c r="F9" s="375"/>
      <c r="H9" s="372" t="str">
        <f>+'4UsoAguas'!F11</f>
        <v>Acuerdo de Consejo Directivo No. 14 del 28 de Mayo de 2020</v>
      </c>
      <c r="I9" s="372" t="str">
        <f>+'4UsoAguas'!E12</f>
        <v>Proyecto 4.2 REGULACIÓN DEL USO Y MANEJO DEL RECURSO HÍDRICO, Actividad 4.2.5 Reglamentar las corrientes priorizadas en el departamento</v>
      </c>
      <c r="J9" s="372" t="str">
        <f>+'4UsoAguas'!E13</f>
        <v>En cumplimiento de esta actividad, se ejecuta el contrato 235 de 2022, con el objeto de “Reglamentar los usos del agua y de los vertimientos en los ríos Frio y Sevilla en la jurisdicción de Corpamag”</v>
      </c>
      <c r="L9" s="391" t="str">
        <f t="shared" si="0"/>
        <v/>
      </c>
      <c r="M9" s="391" t="str">
        <f t="shared" si="1"/>
        <v>Proyecto 4.2 REGULACIÓN DEL USO Y MANEJO DEL RECURSO HÍDRICO, Actividad 4.2.5 Reglamentar las corrientes priorizadas en el departamento</v>
      </c>
      <c r="N9" s="392" t="str">
        <f t="shared" si="2"/>
        <v>En cumplimiento de esta actividad, se ejecuta el contrato 235 de 2022, con el objeto de “Reglamentar los usos del agua y de los vertimientos en los ríos Frio y Sevilla en la jurisdicción de Corpamag”</v>
      </c>
      <c r="O9" s="380" t="s">
        <v>888</v>
      </c>
      <c r="P9" s="378"/>
    </row>
    <row r="10" spans="1:18" ht="72" x14ac:dyDescent="0.25">
      <c r="A10" s="258" t="s">
        <v>1160</v>
      </c>
      <c r="B10" s="259" t="s">
        <v>200</v>
      </c>
      <c r="C10" s="390">
        <f>+'5PUEAA'!D8</f>
        <v>0.88785046728971961</v>
      </c>
      <c r="D10" s="375"/>
      <c r="E10" s="375"/>
      <c r="F10" s="375"/>
      <c r="H10" s="372">
        <f>+'5PUEAA'!F11</f>
        <v>0</v>
      </c>
      <c r="I10" s="372" t="str">
        <f>+'5PUEAA'!E12</f>
        <v>Proyecto 2.4 AUTORIDAD AMBIENTAL Y ADMINISTRACIÓN DE LOS RECURSOS NATURALES, Actividad 2.4.5. Seguimiento a los PUEAA</v>
      </c>
      <c r="J10" s="372">
        <f>+'5PUEAA'!E13</f>
        <v>0</v>
      </c>
      <c r="L10" s="391" t="str">
        <f t="shared" si="0"/>
        <v/>
      </c>
      <c r="M10" s="391" t="str">
        <f t="shared" si="1"/>
        <v>Proyecto 2.4 AUTORIDAD AMBIENTAL Y ADMINISTRACIÓN DE LOS RECURSOS NATURALES, Actividad 2.4.5. Seguimiento a los PUEAA</v>
      </c>
      <c r="N10" s="392" t="str">
        <f t="shared" si="2"/>
        <v/>
      </c>
      <c r="O10" s="380" t="s">
        <v>888</v>
      </c>
      <c r="P10" s="378"/>
    </row>
    <row r="11" spans="1:18" ht="84" x14ac:dyDescent="0.25">
      <c r="A11" s="258" t="s">
        <v>1161</v>
      </c>
      <c r="B11" s="259" t="s">
        <v>220</v>
      </c>
      <c r="C11" s="390">
        <f>+'6POMCASejec'!D8</f>
        <v>1</v>
      </c>
      <c r="D11" s="375"/>
      <c r="E11" s="375"/>
      <c r="F11" s="375"/>
      <c r="H11" s="372">
        <f>+'6POMCASejec'!F11</f>
        <v>0</v>
      </c>
      <c r="I11" s="372" t="str">
        <f>+'6POMCASejec'!E12</f>
        <v>Proyecto 4.1 PLANIFICACIÓN Y MANEJO DEL RECURSO HÍDRICO, Actividad 4.1.4 Implementar Planes Operativos de los POMCA adoptados en el departamento</v>
      </c>
      <c r="J11" s="372">
        <f>+'6POMCASejec'!E13</f>
        <v>0</v>
      </c>
      <c r="L11" s="391" t="str">
        <f t="shared" si="0"/>
        <v/>
      </c>
      <c r="M11" s="391" t="str">
        <f t="shared" si="1"/>
        <v>Proyecto 4.1 PLANIFICACIÓN Y MANEJO DEL RECURSO HÍDRICO, Actividad 4.1.4 Implementar Planes Operativos de los POMCA adoptados en el departamento</v>
      </c>
      <c r="N11" s="392" t="str">
        <f t="shared" si="2"/>
        <v/>
      </c>
      <c r="O11" s="380" t="s">
        <v>888</v>
      </c>
      <c r="P11" s="378"/>
    </row>
    <row r="12" spans="1:18" ht="156" x14ac:dyDescent="0.25">
      <c r="A12" s="258" t="s">
        <v>1162</v>
      </c>
      <c r="B12" s="259" t="s">
        <v>280</v>
      </c>
      <c r="C12" s="390">
        <f>+'7Clima'!D8</f>
        <v>0.9</v>
      </c>
      <c r="D12" s="375"/>
      <c r="E12" s="375"/>
      <c r="F12" s="375"/>
      <c r="H12" s="372">
        <f>+'7Clima'!F11</f>
        <v>0</v>
      </c>
      <c r="I12" s="372" t="str">
        <f>+'7Clima'!E12</f>
        <v xml:space="preserve">Proyecto 6.1 INCORPORACIÓN DE LA DIMENSIÓN AMBIENTAL EN INSTRUMENTOS DE PLANIFICACIÓN DEL DEPARTAMENTO, Actividad 6.1.2 Asesorar a los entes territoriales para la incorporación de las Determinantes y Asuntos ambientales en sus Instrumentos de Planificación Territorial </v>
      </c>
      <c r="J12" s="372">
        <f>+'7Clima'!E13</f>
        <v>0</v>
      </c>
      <c r="L12" s="391" t="str">
        <f t="shared" si="0"/>
        <v/>
      </c>
      <c r="M12" s="391" t="str">
        <f t="shared" si="1"/>
        <v xml:space="preserve">Proyecto 6.1 INCORPORACIÓN DE LA DIMENSIÓN AMBIENTAL EN INSTRUMENTOS DE PLANIFICACIÓN DEL DEPARTAMENTO, Actividad 6.1.2 Asesorar a los entes territoriales para la incorporación de las Determinantes y Asuntos ambientales en sus Instrumentos de Planificación Territorial </v>
      </c>
      <c r="N12" s="392" t="str">
        <f t="shared" si="2"/>
        <v/>
      </c>
      <c r="O12" s="380" t="s">
        <v>888</v>
      </c>
      <c r="P12" s="378"/>
    </row>
    <row r="13" spans="1:18" ht="204" x14ac:dyDescent="0.25">
      <c r="A13" s="258" t="s">
        <v>1163</v>
      </c>
      <c r="B13" s="259" t="s">
        <v>314</v>
      </c>
      <c r="C13" s="390">
        <f>+'8Suelo'!D8</f>
        <v>1</v>
      </c>
      <c r="D13" s="375"/>
      <c r="E13" s="375"/>
      <c r="F13" s="375"/>
      <c r="H13" s="372">
        <f>+'8Suelo'!F11</f>
        <v>0</v>
      </c>
      <c r="I13" s="372" t="str">
        <f>+'8Suelo'!E12</f>
        <v>Proyecto 2.5 GESTIÓN SOSTENIBLE DEL SUELO, Actividad 2.5.2 Implementar acciones de recuperación y/o rehabilitación de suelos degradados en áreas priorizadas del departamento del Magdalena, Proyecto 3.1 RESTAURACIÓN DE ECOSISTEMAS Y ÁREAS DEGRADADAS, Actividad 3.1.1 Restauración, protección y conservación de áreas estratégicas para la regulación hídrica</v>
      </c>
      <c r="J13" s="372" t="str">
        <f>+'8Suelo'!E13</f>
        <v>Se reporta en el Indicador solo 40, por que al reportar las 76 ha, arroja un resultado superior al 100%</v>
      </c>
      <c r="L13" s="391" t="str">
        <f t="shared" si="0"/>
        <v/>
      </c>
      <c r="M13" s="391" t="str">
        <f t="shared" si="1"/>
        <v>Proyecto 2.5 GESTIÓN SOSTENIBLE DEL SUELO, Actividad 2.5.2 Implementar acciones de recuperación y/o rehabilitación de suelos degradados en áreas priorizadas del departamento del Magdalena, Proyecto 3.1 RESTAURACIÓN DE ECOSISTEMAS Y ÁREAS DEGRADADAS, Actividad 3.1.1 Restauración, protección y conservación de áreas estratégicas para la regulación hídrica</v>
      </c>
      <c r="N13" s="392" t="str">
        <f t="shared" si="2"/>
        <v>Se reporta en el Indicador solo 40, por que al reportar las 76 ha, arroja un resultado superior al 100%</v>
      </c>
      <c r="O13" s="380" t="s">
        <v>888</v>
      </c>
      <c r="P13" s="378"/>
    </row>
    <row r="14" spans="1:18" ht="120" x14ac:dyDescent="0.25">
      <c r="A14" s="258" t="s">
        <v>1164</v>
      </c>
      <c r="B14" s="259" t="s">
        <v>348</v>
      </c>
      <c r="C14" s="390" t="str">
        <f>+'9RUNAP'!D9</f>
        <v>SIN INFORMACION</v>
      </c>
      <c r="D14" s="375"/>
      <c r="E14" s="375"/>
      <c r="F14" s="375"/>
      <c r="H14" s="372" t="str">
        <f>+'9RUNAP'!F12</f>
        <v>Acuerdo de Consejo Directivo No. 14 del 28 de Mayo de 2020</v>
      </c>
      <c r="I14" s="372" t="str">
        <f>+'9RUNAP'!E13</f>
        <v>ÁREAS PROTEGIDAS Y OTRAS ESTRATEGIAS COMPLEMENTARIAS PARA LA CONSERVACIÓN</v>
      </c>
      <c r="J14" s="372" t="str">
        <f>+'9RUNAP'!E14</f>
        <v>Se realizó el proceso de Incrispción en el RUNAP de 25.574 ha del Distrito Regional de Manejo Integrado (DRMI) Complejo Cenagoso de Zapatosa CCZ en jurisdicción de el departamento del Magdalena, de acuerdo a la estructura programatica del PAI 2020-2023, este IMG no tiene meta para la vigencia 2022.</v>
      </c>
      <c r="L14" s="391" t="str">
        <f t="shared" si="0"/>
        <v>Acuerdo de Consejo Directivo No. 14 del 28 de Mayo de 2020</v>
      </c>
      <c r="M14" s="391" t="str">
        <f t="shared" si="1"/>
        <v>ÁREAS PROTEGIDAS Y OTRAS ESTRATEGIAS COMPLEMENTARIAS PARA LA CONSERVACIÓN</v>
      </c>
      <c r="N14" s="392" t="str">
        <f t="shared" si="2"/>
        <v>Se realizó el proceso de Incrispción en el RUNAP de 25.574 ha del Distrito Regional de Manejo Integrado (DRMI) Complejo Cenagoso de Zapatosa CCZ en jurisdicción de el departamento del Magdalena, de acuerdo a la estructura programatica del PAI 2020-2023, este IMG no tiene meta para la vigencia 2022.</v>
      </c>
      <c r="O14" s="380" t="s">
        <v>888</v>
      </c>
      <c r="P14" s="378"/>
    </row>
    <row r="15" spans="1:18" ht="96" x14ac:dyDescent="0.25">
      <c r="A15" s="258" t="s">
        <v>1165</v>
      </c>
      <c r="B15" s="259" t="s">
        <v>396</v>
      </c>
      <c r="C15" s="390" t="str">
        <f>'10Paramos'!D8</f>
        <v>SIN INFORMACION</v>
      </c>
      <c r="D15" s="375"/>
      <c r="E15" s="375"/>
      <c r="F15" s="375"/>
      <c r="H15" s="372" t="str">
        <f>'10Paramos'!F11</f>
        <v>Acuerdo de Consejo Directivo No. 14 del 28 de Mayo de 2020</v>
      </c>
      <c r="I15" s="372" t="str">
        <f>'10Paramos'!E12</f>
        <v>Proyecto 6.2 FORMULACIÓN DE INSTRUMENTOS DE ORDENAMIENTO Y/O MANEJO AMBIENTAL, 6.2.3 Formular y/o actualizar Planes de Manejo Ecosistemas estratégicos (humedales y páramo)</v>
      </c>
      <c r="J15" s="372" t="str">
        <f>'10Paramos'!E13</f>
        <v>De acuerdo a la estructura programatica del PAI 2020-2023, este IMG no tiene meta para la vigencia 2022.</v>
      </c>
      <c r="L15" s="391" t="str">
        <f t="shared" si="0"/>
        <v>Acuerdo de Consejo Directivo No. 14 del 28 de Mayo de 2020</v>
      </c>
      <c r="M15" s="391" t="str">
        <f t="shared" si="1"/>
        <v>Proyecto 6.2 FORMULACIÓN DE INSTRUMENTOS DE ORDENAMIENTO Y/O MANEJO AMBIENTAL, 6.2.3 Formular y/o actualizar Planes de Manejo Ecosistemas estratégicos (humedales y páramo)</v>
      </c>
      <c r="N15" s="392" t="str">
        <f t="shared" si="2"/>
        <v>De acuerdo a la estructura programatica del PAI 2020-2023, este IMG no tiene meta para la vigencia 2022.</v>
      </c>
      <c r="O15" s="380" t="s">
        <v>888</v>
      </c>
      <c r="P15" s="378"/>
    </row>
    <row r="16" spans="1:18" ht="204" x14ac:dyDescent="0.25">
      <c r="A16" s="258" t="s">
        <v>1166</v>
      </c>
      <c r="B16" s="259" t="s">
        <v>418</v>
      </c>
      <c r="C16" s="390">
        <f>+'11Forest'!D8</f>
        <v>0.6</v>
      </c>
      <c r="D16" s="375"/>
      <c r="E16" s="375"/>
      <c r="F16" s="375"/>
      <c r="H16" s="372" t="str">
        <f>+'11Forest'!F11</f>
        <v>Acuerdo de Consejo Directivo No. 14 del 28 de Mayo de 2020</v>
      </c>
      <c r="I16" s="372" t="str">
        <f>+'11Forest'!E12</f>
        <v>Proyecto 6.2 FORMULACIÓN DE INSTRUMENTOS DE ORDENAMIENTO Y/O MANEJO AMBIENTAL, Actividad 6.2.2 Formulación del Plan de Ordenación Forestal Parcial en el departamento del Magdalena</v>
      </c>
      <c r="J16" s="372" t="str">
        <f>+'11Forest'!E13</f>
        <v>La Corporación durante la vigencia, suscribió el contrato N° 234 de 2022, con el objeto de “Prestación de servicios profesionales para la formulación del plan de ordenación forestal del área comprendida por los municipios de Pedraza Algarrobo, Ariguaní, Chibolo, Plato, Sabanas De San Ángel, Tenerife, Zapayán y Fundación”, se cuenta con un avance acumulado del 60%.</v>
      </c>
      <c r="L16" s="391" t="str">
        <f t="shared" si="0"/>
        <v/>
      </c>
      <c r="M16" s="391" t="str">
        <f t="shared" si="1"/>
        <v>Proyecto 6.2 FORMULACIÓN DE INSTRUMENTOS DE ORDENAMIENTO Y/O MANEJO AMBIENTAL, Actividad 6.2.2 Formulación del Plan de Ordenación Forestal Parcial en el departamento del Magdalena</v>
      </c>
      <c r="N16" s="392" t="str">
        <f t="shared" si="2"/>
        <v>La Corporación durante la vigencia, suscribió el contrato N° 234 de 2022, con el objeto de “Prestación de servicios profesionales para la formulación del plan de ordenación forestal del área comprendida por los municipios de Pedraza Algarrobo, Ariguaní, Chibolo, Plato, Sabanas De San Ángel, Tenerife, Zapayán y Fundación”, se cuenta con un avance acumulado del 60%.</v>
      </c>
      <c r="O16" s="380" t="s">
        <v>888</v>
      </c>
      <c r="P16" s="378"/>
    </row>
    <row r="17" spans="1:16" ht="204" x14ac:dyDescent="0.25">
      <c r="A17" s="258" t="s">
        <v>1167</v>
      </c>
      <c r="B17" s="259" t="s">
        <v>449</v>
      </c>
      <c r="C17" s="390">
        <f>+'12PlanesAP'!D8</f>
        <v>1</v>
      </c>
      <c r="D17" s="375"/>
      <c r="E17" s="375"/>
      <c r="F17" s="375"/>
      <c r="H17" s="372">
        <f>+'12PlanesAP'!F11</f>
        <v>0</v>
      </c>
      <c r="I17" s="372" t="str">
        <f>+'12PlanesAP'!E12</f>
        <v>Proyecto 3.4 ÁREAS PROTEGIDAS Y OTRAS ESTRATEGIAS COMPLEMENTARIAS PARA LA CONSERVACIÓN, Actividades 3.4.1 Implementación de acciones priorizadas en el marco del sistema de áreas protegidas y otras estrategias complementarias para la conservación y 3.4.2. Implementación de acciones de los Planes de Manejo de las áreas protegidas Regionales</v>
      </c>
      <c r="J17" s="372">
        <f>+'12PlanesAP'!E13</f>
        <v>0</v>
      </c>
      <c r="L17" s="391" t="str">
        <f t="shared" si="0"/>
        <v/>
      </c>
      <c r="M17" s="391" t="str">
        <f t="shared" si="1"/>
        <v>Proyecto 3.4 ÁREAS PROTEGIDAS Y OTRAS ESTRATEGIAS COMPLEMENTARIAS PARA LA CONSERVACIÓN, Actividades 3.4.1 Implementación de acciones priorizadas en el marco del sistema de áreas protegidas y otras estrategias complementarias para la conservación y 3.4.2. Implementación de acciones de los Planes de Manejo de las áreas protegidas Regionales</v>
      </c>
      <c r="N17" s="392" t="str">
        <f t="shared" si="2"/>
        <v/>
      </c>
      <c r="O17" s="380" t="s">
        <v>888</v>
      </c>
      <c r="P17" s="378"/>
    </row>
    <row r="18" spans="1:16" ht="84" x14ac:dyDescent="0.25">
      <c r="A18" s="258" t="s">
        <v>1168</v>
      </c>
      <c r="B18" s="259" t="s">
        <v>480</v>
      </c>
      <c r="C18" s="390">
        <f>+'13Amenaz'!D8</f>
        <v>1</v>
      </c>
      <c r="D18" s="375"/>
      <c r="E18" s="375"/>
      <c r="F18" s="375"/>
      <c r="H18" s="372">
        <f>+'13Amenaz'!F11</f>
        <v>0</v>
      </c>
      <c r="I18" s="372" t="str">
        <f>+'13Amenaz'!E12</f>
        <v xml:space="preserve">Proyecto 3.2 RECUPERACIÓN Y PROTECCIÓN DE ESPECIES, Actividad 3.2.4 Implementación de medidas de conservación y de manejo a especies amenazadas </v>
      </c>
      <c r="J18" s="372">
        <f>+'13Amenaz'!E13</f>
        <v>0</v>
      </c>
      <c r="L18" s="391" t="str">
        <f t="shared" si="0"/>
        <v/>
      </c>
      <c r="M18" s="391" t="str">
        <f t="shared" si="1"/>
        <v xml:space="preserve">Proyecto 3.2 RECUPERACIÓN Y PROTECCIÓN DE ESPECIES, Actividad 3.2.4 Implementación de medidas de conservación y de manejo a especies amenazadas </v>
      </c>
      <c r="N18" s="392" t="str">
        <f t="shared" si="2"/>
        <v/>
      </c>
      <c r="O18" s="380" t="s">
        <v>888</v>
      </c>
      <c r="P18" s="378"/>
    </row>
    <row r="19" spans="1:16" ht="84" x14ac:dyDescent="0.25">
      <c r="A19" s="258" t="s">
        <v>1169</v>
      </c>
      <c r="B19" s="259" t="s">
        <v>526</v>
      </c>
      <c r="C19" s="390">
        <f>+'14Invasor'!D8</f>
        <v>1</v>
      </c>
      <c r="D19" s="375"/>
      <c r="E19" s="375"/>
      <c r="F19" s="375"/>
      <c r="H19" s="372">
        <f>+'14Invasor'!F11</f>
        <v>0</v>
      </c>
      <c r="I19" s="372" t="str">
        <f>+'14Invasor'!E12</f>
        <v>Proyecto 3.2 RECUPERACIÓN Y PROTECCIÓN DE ESPECIES, Actividad 3.2.5 Implementación de medidas de prevención, control y de manejo a especies invasoras</v>
      </c>
      <c r="J19" s="372">
        <f>+'14Invasor'!E13</f>
        <v>0</v>
      </c>
      <c r="L19" s="391" t="str">
        <f t="shared" si="0"/>
        <v/>
      </c>
      <c r="M19" s="391" t="str">
        <f t="shared" si="1"/>
        <v>Proyecto 3.2 RECUPERACIÓN Y PROTECCIÓN DE ESPECIES, Actividad 3.2.5 Implementación de medidas de prevención, control y de manejo a especies invasoras</v>
      </c>
      <c r="N19" s="392" t="str">
        <f t="shared" si="2"/>
        <v/>
      </c>
      <c r="O19" s="380" t="s">
        <v>888</v>
      </c>
      <c r="P19" s="378"/>
    </row>
    <row r="20" spans="1:16" ht="84" x14ac:dyDescent="0.25">
      <c r="A20" s="258" t="s">
        <v>1170</v>
      </c>
      <c r="B20" s="259" t="s">
        <v>557</v>
      </c>
      <c r="C20" s="390">
        <f>+'15Restaura'!D8</f>
        <v>1</v>
      </c>
      <c r="D20" s="375"/>
      <c r="E20" s="375"/>
      <c r="F20" s="375"/>
      <c r="H20" s="372">
        <f>+'15Restaura'!F11</f>
        <v>0</v>
      </c>
      <c r="I20" s="372" t="str">
        <f>+'15Restaura'!E12</f>
        <v>Proyecto 3.1 RESTAURACIÓN DE ECOSISTEMAS Y ÁREAS DEGRADADAS, Actividad 3.1.1 Restauración, protección y conservación de áreas estratégicas para la regulación hídrica</v>
      </c>
      <c r="J20" s="372" t="str">
        <f>+'15Restaura'!E13</f>
        <v>Se reporta en el Indicador solo 40, por que al reportar las 76 ha, arroja un resultado superior al 100%</v>
      </c>
      <c r="L20" s="391" t="str">
        <f t="shared" si="0"/>
        <v/>
      </c>
      <c r="M20" s="391" t="str">
        <f t="shared" si="1"/>
        <v>Proyecto 3.1 RESTAURACIÓN DE ECOSISTEMAS Y ÁREAS DEGRADADAS, Actividad 3.1.1 Restauración, protección y conservación de áreas estratégicas para la regulación hídrica</v>
      </c>
      <c r="N20" s="392" t="str">
        <f t="shared" si="2"/>
        <v>Se reporta en el Indicador solo 40, por que al reportar las 76 ha, arroja un resultado superior al 100%</v>
      </c>
      <c r="O20" s="380" t="s">
        <v>888</v>
      </c>
      <c r="P20" s="378"/>
    </row>
    <row r="21" spans="1:16" ht="108" x14ac:dyDescent="0.25">
      <c r="A21" s="258" t="s">
        <v>1171</v>
      </c>
      <c r="B21" s="259" t="s">
        <v>585</v>
      </c>
      <c r="C21" s="390">
        <f>+'16MIZC'!D8</f>
        <v>1</v>
      </c>
      <c r="D21" s="375"/>
      <c r="E21" s="375"/>
      <c r="F21" s="375"/>
      <c r="H21" s="372">
        <f>+'16MIZC'!F11</f>
        <v>0</v>
      </c>
      <c r="I21" s="372" t="str">
        <f>+'16MIZC'!E12</f>
        <v>Proyecto 8.1 ORDENAMIENTO Y MANEJO INTEGRAL DEL TERRITORIO MARINO COSTERO, 8.1.1 Implementar acciones en los Planes de Ordenación y Manejo Integrado de Unidades Ambientales Costeras - POMIUAC</v>
      </c>
      <c r="J21" s="372">
        <f>+'16MIZC'!E13</f>
        <v>0</v>
      </c>
      <c r="L21" s="391" t="str">
        <f t="shared" si="0"/>
        <v/>
      </c>
      <c r="M21" s="391" t="str">
        <f t="shared" si="1"/>
        <v>Proyecto 8.1 ORDENAMIENTO Y MANEJO INTEGRAL DEL TERRITORIO MARINO COSTERO, 8.1.1 Implementar acciones en los Planes de Ordenación y Manejo Integrado de Unidades Ambientales Costeras - POMIUAC</v>
      </c>
      <c r="N21" s="392" t="str">
        <f t="shared" si="2"/>
        <v/>
      </c>
      <c r="O21" s="380" t="s">
        <v>888</v>
      </c>
      <c r="P21" s="378"/>
    </row>
    <row r="22" spans="1:16" ht="72" x14ac:dyDescent="0.25">
      <c r="A22" s="258" t="s">
        <v>1172</v>
      </c>
      <c r="B22" s="259" t="s">
        <v>634</v>
      </c>
      <c r="C22" s="390">
        <f>+'17PGIRS'!D8</f>
        <v>1</v>
      </c>
      <c r="D22" s="375"/>
      <c r="E22" s="375"/>
      <c r="F22" s="375"/>
      <c r="H22" s="372">
        <f>+'17PGIRS'!F11</f>
        <v>0</v>
      </c>
      <c r="I22" s="372" t="str">
        <f>+'17PGIRS'!E12</f>
        <v>Proyecto 2.4 AUTORIDAD AMBIENTAL Y ADMINISTRACIÓN DE LOS RECURSOS NATURALES, Actividad 2.4.6. Seguimiento a los PGIRS</v>
      </c>
      <c r="J22" s="372">
        <f>+'17PGIRS'!E13</f>
        <v>0</v>
      </c>
      <c r="L22" s="391" t="str">
        <f t="shared" si="0"/>
        <v/>
      </c>
      <c r="M22" s="391" t="str">
        <f t="shared" si="1"/>
        <v>Proyecto 2.4 AUTORIDAD AMBIENTAL Y ADMINISTRACIÓN DE LOS RECURSOS NATURALES, Actividad 2.4.6. Seguimiento a los PGIRS</v>
      </c>
      <c r="N22" s="392" t="str">
        <f t="shared" si="2"/>
        <v/>
      </c>
      <c r="O22" s="380" t="s">
        <v>888</v>
      </c>
      <c r="P22" s="378"/>
    </row>
    <row r="23" spans="1:16" ht="120" x14ac:dyDescent="0.25">
      <c r="A23" s="258" t="s">
        <v>1173</v>
      </c>
      <c r="B23" s="259" t="s">
        <v>655</v>
      </c>
      <c r="C23" s="390">
        <f>+'18Sector'!D8</f>
        <v>1</v>
      </c>
      <c r="D23" s="375"/>
      <c r="E23" s="375"/>
      <c r="F23" s="375"/>
      <c r="H23" s="372">
        <f>+'18Sector'!F11</f>
        <v>0</v>
      </c>
      <c r="I23" s="372" t="str">
        <f>+'18Sector'!E12</f>
        <v>Proyecto 2.3 IMPLEMENTACIÓN DE LA POLÍTICA AMBIENTAL PARA LA GESTIÓN INTEGRAL DE RESIDUOS O DESECHOS PELIGROSOS, Actividad 2.3.3 Brindar acompañamiento a los sectores productivos en la gestión de residuos Posconsumo</v>
      </c>
      <c r="J23" s="372">
        <f>+'18Sector'!E13</f>
        <v>0</v>
      </c>
      <c r="L23" s="391" t="str">
        <f t="shared" si="0"/>
        <v/>
      </c>
      <c r="M23" s="391" t="str">
        <f t="shared" si="1"/>
        <v>Proyecto 2.3 IMPLEMENTACIÓN DE LA POLÍTICA AMBIENTAL PARA LA GESTIÓN INTEGRAL DE RESIDUOS O DESECHOS PELIGROSOS, Actividad 2.3.3 Brindar acompañamiento a los sectores productivos en la gestión de residuos Posconsumo</v>
      </c>
      <c r="N23" s="392" t="str">
        <f t="shared" si="2"/>
        <v/>
      </c>
      <c r="O23" s="380" t="s">
        <v>888</v>
      </c>
      <c r="P23" s="378"/>
    </row>
    <row r="24" spans="1:16" ht="108" x14ac:dyDescent="0.25">
      <c r="A24" s="258" t="s">
        <v>1174</v>
      </c>
      <c r="B24" s="259" t="s">
        <v>704</v>
      </c>
      <c r="C24" s="390">
        <f>+'19GAU'!D8</f>
        <v>1</v>
      </c>
      <c r="D24" s="375"/>
      <c r="E24" s="375"/>
      <c r="F24" s="375"/>
      <c r="H24" s="372">
        <f>+'19GAU'!F11</f>
        <v>0</v>
      </c>
      <c r="I24" s="372" t="str">
        <f>+'19GAU'!E12</f>
        <v>Proyecto 2.4 AUTORIDAD AMBIENTAL Y ADMINISTRACIÓN DE LOS RECURSOS NATURALES, Proyecto 2.6 GESTIÓN INTEGRAL DE LA CALIDAD DEL AIRE</v>
      </c>
      <c r="J24" s="372" t="str">
        <f>+'19GAU'!E13</f>
        <v>Este IMG de GAU, esta inmerso en acciones de varios proyectos de inversión del PAI 2020-2023, y al ser una lista desplegable no es posible seleccionar mas de un IMG en el Anexo 1 Matriz de Gestión</v>
      </c>
      <c r="L24" s="391" t="str">
        <f t="shared" si="0"/>
        <v/>
      </c>
      <c r="M24" s="391" t="str">
        <f t="shared" si="1"/>
        <v>Proyecto 2.4 AUTORIDAD AMBIENTAL Y ADMINISTRACIÓN DE LOS RECURSOS NATURALES, Proyecto 2.6 GESTIÓN INTEGRAL DE LA CALIDAD DEL AIRE</v>
      </c>
      <c r="N24" s="392" t="str">
        <f t="shared" si="2"/>
        <v>Este IMG de GAU, esta inmerso en acciones de varios proyectos de inversión del PAI 2020-2023, y al ser una lista desplegable no es posible seleccionar mas de un IMG en el Anexo 1 Matriz de Gestión</v>
      </c>
      <c r="O24" s="380" t="s">
        <v>888</v>
      </c>
      <c r="P24" s="378"/>
    </row>
    <row r="25" spans="1:16" ht="48" x14ac:dyDescent="0.25">
      <c r="A25" s="258" t="s">
        <v>1175</v>
      </c>
      <c r="B25" s="259" t="s">
        <v>779</v>
      </c>
      <c r="C25" s="390">
        <f>+'20Negoc'!D8</f>
        <v>1</v>
      </c>
      <c r="D25" s="375"/>
      <c r="E25" s="375"/>
      <c r="F25" s="375"/>
      <c r="H25" s="372">
        <f>+'20Negoc'!F11</f>
        <v>0</v>
      </c>
      <c r="I25" s="372" t="str">
        <f>+'20Negoc'!E12</f>
        <v>Poryecto 2.1 FORTALECIMIENTO DEL PROGRAMA REGIONAL DE NEGOCIOS VERDES</v>
      </c>
      <c r="J25" s="372">
        <f>+'20Negoc'!E13</f>
        <v>0</v>
      </c>
      <c r="L25" s="391" t="str">
        <f t="shared" si="0"/>
        <v/>
      </c>
      <c r="M25" s="391" t="str">
        <f t="shared" si="1"/>
        <v>Poryecto 2.1 FORTALECIMIENTO DEL PROGRAMA REGIONAL DE NEGOCIOS VERDES</v>
      </c>
      <c r="N25" s="392" t="str">
        <f t="shared" si="2"/>
        <v/>
      </c>
      <c r="O25" s="380" t="s">
        <v>888</v>
      </c>
      <c r="P25" s="378"/>
    </row>
    <row r="26" spans="1:16" ht="72" x14ac:dyDescent="0.25">
      <c r="A26" s="258" t="s">
        <v>1176</v>
      </c>
      <c r="B26" s="259" t="s">
        <v>839</v>
      </c>
      <c r="C26" s="390">
        <f>+'21TiempoT'!D8</f>
        <v>0.54983106413899685</v>
      </c>
      <c r="D26" s="375"/>
      <c r="E26" s="375"/>
      <c r="F26" s="375"/>
      <c r="H26" s="372">
        <f>+'21TiempoT'!F11</f>
        <v>0</v>
      </c>
      <c r="I26" s="372" t="str">
        <f>+'21TiempoT'!E12</f>
        <v>Proyecto 2.4 AUTORIDAD AMBIENTAL Y ADMINISTRACIÓN DE LOS RECURSOS NATURALES, Actividad 2.4.2 Gestión de trámites ambientales</v>
      </c>
      <c r="J26" s="372">
        <f>+'21TiempoT'!E13</f>
        <v>0</v>
      </c>
      <c r="L26" s="391" t="str">
        <f t="shared" si="0"/>
        <v/>
      </c>
      <c r="M26" s="391" t="str">
        <f t="shared" si="1"/>
        <v>Proyecto 2.4 AUTORIDAD AMBIENTAL Y ADMINISTRACIÓN DE LOS RECURSOS NATURALES, Actividad 2.4.2 Gestión de trámites ambientales</v>
      </c>
      <c r="N26" s="392" t="str">
        <f t="shared" si="2"/>
        <v/>
      </c>
      <c r="O26" s="380" t="s">
        <v>888</v>
      </c>
      <c r="P26" s="378"/>
    </row>
    <row r="27" spans="1:16" ht="96" x14ac:dyDescent="0.25">
      <c r="A27" s="258" t="s">
        <v>1177</v>
      </c>
      <c r="B27" s="259" t="s">
        <v>887</v>
      </c>
      <c r="C27" s="390">
        <f>+'22Autor'!D8</f>
        <v>0.92219863199241503</v>
      </c>
      <c r="D27" s="375"/>
      <c r="E27" s="375"/>
      <c r="F27" s="375"/>
      <c r="H27" s="372">
        <f>+'22Autor'!F11</f>
        <v>0</v>
      </c>
      <c r="I27" s="372" t="str">
        <f>+'22Autor'!E12</f>
        <v>Proyecto 2.4 AUTORIDAD AMBIENTAL Y ADMINISTRACIÓN DE LOS RECURSOS NATURALES, Actividad 2.4.3 Seguimiento a autorizaciones ambientales</v>
      </c>
      <c r="J27" s="372">
        <f>+'22Autor'!E13</f>
        <v>0</v>
      </c>
      <c r="L27" s="391" t="str">
        <f t="shared" si="0"/>
        <v/>
      </c>
      <c r="M27" s="391" t="str">
        <f t="shared" si="1"/>
        <v>Proyecto 2.4 AUTORIDAD AMBIENTAL Y ADMINISTRACIÓN DE LOS RECURSOS NATURALES, Actividad 2.4.3 Seguimiento a autorizaciones ambientales</v>
      </c>
      <c r="N27" s="392" t="str">
        <f t="shared" si="2"/>
        <v/>
      </c>
      <c r="O27" s="380" t="s">
        <v>888</v>
      </c>
      <c r="P27" s="378"/>
    </row>
    <row r="28" spans="1:16" ht="96" x14ac:dyDescent="0.25">
      <c r="A28" s="258" t="s">
        <v>1178</v>
      </c>
      <c r="B28" s="259" t="s">
        <v>951</v>
      </c>
      <c r="C28" s="390">
        <f>+'23Sanc'!D8</f>
        <v>0.18787878787878787</v>
      </c>
      <c r="D28" s="375"/>
      <c r="E28" s="375"/>
      <c r="F28" s="375"/>
      <c r="H28" s="372">
        <f>+'22Autor'!F11</f>
        <v>0</v>
      </c>
      <c r="I28" s="372" t="str">
        <f>+'22Autor'!E12</f>
        <v>Proyecto 2.4 AUTORIDAD AMBIENTAL Y ADMINISTRACIÓN DE LOS RECURSOS NATURALES, Actividad 2.4.3 Seguimiento a autorizaciones ambientales</v>
      </c>
      <c r="J28" s="372">
        <f>+'22Autor'!E13</f>
        <v>0</v>
      </c>
      <c r="L28" s="391" t="str">
        <f t="shared" si="0"/>
        <v/>
      </c>
      <c r="M28" s="391" t="str">
        <f t="shared" si="1"/>
        <v>Proyecto 2.4 AUTORIDAD AMBIENTAL Y ADMINISTRACIÓN DE LOS RECURSOS NATURALES, Actividad 2.4.3 Seguimiento a autorizaciones ambientales</v>
      </c>
      <c r="N28" s="392" t="str">
        <f t="shared" si="2"/>
        <v/>
      </c>
      <c r="O28" s="380" t="s">
        <v>888</v>
      </c>
      <c r="P28" s="378"/>
    </row>
    <row r="29" spans="1:16" ht="252" x14ac:dyDescent="0.25">
      <c r="A29" s="258" t="s">
        <v>1179</v>
      </c>
      <c r="B29" s="259" t="s">
        <v>972</v>
      </c>
      <c r="C29" s="390">
        <f>'24POT'!D7</f>
        <v>0.9</v>
      </c>
      <c r="D29" s="375"/>
      <c r="E29" s="375"/>
      <c r="F29" s="375"/>
      <c r="H29" s="372">
        <f>'24POT'!F10</f>
        <v>0</v>
      </c>
      <c r="I29" s="372" t="str">
        <f>'24POT'!E11</f>
        <v xml:space="preserve">Proyecto 6.1 INCORPORACIÓN DE LA DIMENSIÓN AMBIENTAL EN INSTRUMENTOS DE PLANIFICACIÓN DEL DEPARTAMENTO, Actividades 6.1.1 Adopción y Actualización de las determinantes ambientales para su incorporación en instrumentos de planeación y Ordenamiento Territorial y 6.1.2 Asesorar a los entes territoriales para la incorporación de las Determinantes y Asuntos ambientales en sus Instrumentos de Planificación Territorial  </v>
      </c>
      <c r="J29" s="372">
        <f>'24POT'!E12</f>
        <v>0</v>
      </c>
      <c r="L29" s="391" t="str">
        <f t="shared" si="0"/>
        <v/>
      </c>
      <c r="M29" s="391" t="str">
        <f t="shared" si="1"/>
        <v xml:space="preserve">Proyecto 6.1 INCORPORACIÓN DE LA DIMENSIÓN AMBIENTAL EN INSTRUMENTOS DE PLANIFICACIÓN DEL DEPARTAMENTO, Actividades 6.1.1 Adopción y Actualización de las determinantes ambientales para su incorporación en instrumentos de planeación y Ordenamiento Territorial y 6.1.2 Asesorar a los entes territoriales para la incorporación de las Determinantes y Asuntos ambientales en sus Instrumentos de Planificación Territorial  </v>
      </c>
      <c r="N29" s="392" t="str">
        <f t="shared" si="2"/>
        <v/>
      </c>
      <c r="O29" s="380" t="s">
        <v>888</v>
      </c>
      <c r="P29" s="378"/>
    </row>
    <row r="30" spans="1:16" ht="72" x14ac:dyDescent="0.25">
      <c r="A30" s="258" t="s">
        <v>1180</v>
      </c>
      <c r="B30" s="259" t="s">
        <v>1001</v>
      </c>
      <c r="C30" s="390">
        <f>+'25Redes'!D8</f>
        <v>1</v>
      </c>
      <c r="D30" s="375"/>
      <c r="E30" s="375"/>
      <c r="F30" s="375"/>
      <c r="H30" s="372">
        <f>+'25Redes'!F11</f>
        <v>0</v>
      </c>
      <c r="I30" s="372" t="str">
        <f>+'25Redes'!E12</f>
        <v xml:space="preserve">Proyecto 2.6 GESTIÓN INTEGRAL DE LA CALIDAD DEL AIRE, Actividad 2.6.1 Operativizar el Sistema de Vigilancia de la Calidad del Aire - SVCA </v>
      </c>
      <c r="J30" s="372">
        <f>+'25Redes'!E13</f>
        <v>0</v>
      </c>
      <c r="L30" s="391" t="str">
        <f t="shared" si="0"/>
        <v/>
      </c>
      <c r="M30" s="391" t="str">
        <f t="shared" si="1"/>
        <v xml:space="preserve">Proyecto 2.6 GESTIÓN INTEGRAL DE LA CALIDAD DEL AIRE, Actividad 2.6.1 Operativizar el Sistema de Vigilancia de la Calidad del Aire - SVCA </v>
      </c>
      <c r="N30" s="392" t="str">
        <f t="shared" si="2"/>
        <v/>
      </c>
      <c r="O30" s="380" t="s">
        <v>888</v>
      </c>
      <c r="P30" s="378"/>
    </row>
    <row r="31" spans="1:16" ht="84" x14ac:dyDescent="0.25">
      <c r="A31" s="258" t="s">
        <v>1181</v>
      </c>
      <c r="B31" s="259" t="s">
        <v>1074</v>
      </c>
      <c r="C31" s="390">
        <f>+'26SIAC'!D8</f>
        <v>0.80019881016733052</v>
      </c>
      <c r="D31" s="375"/>
      <c r="E31" s="375"/>
      <c r="F31" s="375"/>
      <c r="H31" s="372">
        <f>+'26SIAC'!F11</f>
        <v>0</v>
      </c>
      <c r="I31" s="372" t="str">
        <f>+'26SIAC'!E12</f>
        <v>Proyecto 5.1 FORTALECIMIENTO DEL SISTEMA DE INFORMACIÓN AMBIENTAL REGIONAL (SIAR), Actividad 5.1.3 Reporte de la información en el SIAC</v>
      </c>
      <c r="J31" s="372">
        <f>+'26SIAC'!E13</f>
        <v>0</v>
      </c>
      <c r="L31" s="391" t="str">
        <f t="shared" si="0"/>
        <v/>
      </c>
      <c r="M31" s="391" t="str">
        <f t="shared" si="1"/>
        <v>Proyecto 5.1 FORTALECIMIENTO DEL SISTEMA DE INFORMACIÓN AMBIENTAL REGIONAL (SIAR), Actividad 5.1.3 Reporte de la información en el SIAC</v>
      </c>
      <c r="N31" s="392" t="str">
        <f t="shared" si="2"/>
        <v/>
      </c>
      <c r="O31" s="380" t="s">
        <v>888</v>
      </c>
      <c r="P31" s="378"/>
    </row>
    <row r="32" spans="1:16" ht="96" x14ac:dyDescent="0.25">
      <c r="A32" s="258" t="s">
        <v>1182</v>
      </c>
      <c r="B32" s="259" t="s">
        <v>1121</v>
      </c>
      <c r="C32" s="390">
        <f>+'27Educa'!D8</f>
        <v>1</v>
      </c>
      <c r="D32" s="375"/>
      <c r="E32" s="375"/>
      <c r="F32" s="375"/>
      <c r="H32" s="372">
        <f>+'27Educa'!F11</f>
        <v>0</v>
      </c>
      <c r="I32" s="372" t="str">
        <f>+'27Educa'!E12</f>
        <v>Proyecto 1.1  IMPLEMENTACIÓN DE LA POLÍTICA DE EDUCACIÓN AMBIENTAL y Proyecto 1.2 IMPLEMENTACIÓN DE ESTRATEGIAS DE PARTICIPACIÓN Y CULTURA AMBIENTAL</v>
      </c>
      <c r="J32" s="372">
        <f>+'27Educa'!E13</f>
        <v>0</v>
      </c>
      <c r="L32" s="391" t="str">
        <f t="shared" si="0"/>
        <v/>
      </c>
      <c r="M32" s="391" t="str">
        <f t="shared" si="1"/>
        <v>Proyecto 1.1  IMPLEMENTACIÓN DE LA POLÍTICA DE EDUCACIÓN AMBIENTAL y Proyecto 1.2 IMPLEMENTACIÓN DE ESTRATEGIAS DE PARTICIPACIÓN Y CULTURA AMBIENTAL</v>
      </c>
      <c r="N32" s="392" t="str">
        <f t="shared" si="2"/>
        <v/>
      </c>
      <c r="O32" s="380" t="s">
        <v>888</v>
      </c>
      <c r="P32" s="378"/>
    </row>
  </sheetData>
  <mergeCells count="4">
    <mergeCell ref="A1:P1"/>
    <mergeCell ref="A3:P3"/>
    <mergeCell ref="A4:B4"/>
    <mergeCell ref="A2:P2"/>
  </mergeCells>
  <conditionalFormatting sqref="C6:C32">
    <cfRule type="colorScale" priority="21">
      <colorScale>
        <cfvo type="min"/>
        <cfvo type="percentile" val="50"/>
        <cfvo type="max"/>
        <color rgb="FFF8696B"/>
        <color rgb="FFFFEB84"/>
        <color rgb="FF63BE7B"/>
      </colorScale>
    </cfRule>
  </conditionalFormatting>
  <conditionalFormatting sqref="H7:I32">
    <cfRule type="colorScale" priority="18">
      <colorScale>
        <cfvo type="min"/>
        <cfvo type="percentile" val="50"/>
        <cfvo type="max"/>
        <color rgb="FFF8696B"/>
        <color rgb="FFFFEB84"/>
        <color rgb="FF63BE7B"/>
      </colorScale>
    </cfRule>
  </conditionalFormatting>
  <conditionalFormatting sqref="L6:L7">
    <cfRule type="colorScale" priority="14">
      <colorScale>
        <cfvo type="min"/>
        <cfvo type="percentile" val="50"/>
        <cfvo type="max"/>
        <color rgb="FFF8696B"/>
        <color rgb="FFFFEB84"/>
        <color rgb="FF63BE7B"/>
      </colorScale>
    </cfRule>
  </conditionalFormatting>
  <conditionalFormatting sqref="L8:L32">
    <cfRule type="colorScale" priority="13">
      <colorScale>
        <cfvo type="min"/>
        <cfvo type="percentile" val="50"/>
        <cfvo type="max"/>
        <color rgb="FFF8696B"/>
        <color rgb="FFFFEB84"/>
        <color rgb="FF63BE7B"/>
      </colorScale>
    </cfRule>
  </conditionalFormatting>
  <conditionalFormatting sqref="M6:M32">
    <cfRule type="colorScale" priority="12">
      <colorScale>
        <cfvo type="min"/>
        <cfvo type="percentile" val="50"/>
        <cfvo type="max"/>
        <color rgb="FFF8696B"/>
        <color rgb="FFFFEB84"/>
        <color rgb="FF63BE7B"/>
      </colorScale>
    </cfRule>
  </conditionalFormatting>
  <conditionalFormatting sqref="N6">
    <cfRule type="colorScale" priority="10">
      <colorScale>
        <cfvo type="min"/>
        <cfvo type="percentile" val="50"/>
        <cfvo type="max"/>
        <color rgb="FFF8696B"/>
        <color rgb="FFFFEB84"/>
        <color rgb="FF63BE7B"/>
      </colorScale>
    </cfRule>
  </conditionalFormatting>
  <conditionalFormatting sqref="N7:N32">
    <cfRule type="colorScale" priority="8">
      <colorScale>
        <cfvo type="min"/>
        <cfvo type="percentile" val="50"/>
        <cfvo type="max"/>
        <color rgb="FFF8696B"/>
        <color rgb="FFFFEB84"/>
        <color rgb="FF63BE7B"/>
      </colorScale>
    </cfRule>
  </conditionalFormatting>
  <conditionalFormatting sqref="J7:J32">
    <cfRule type="colorScale" priority="7">
      <colorScale>
        <cfvo type="min"/>
        <cfvo type="percentile" val="50"/>
        <cfvo type="max"/>
        <color rgb="FFF8696B"/>
        <color rgb="FFFFEB84"/>
        <color rgb="FF63BE7B"/>
      </colorScale>
    </cfRule>
  </conditionalFormatting>
  <conditionalFormatting sqref="H6:I6">
    <cfRule type="colorScale" priority="6">
      <colorScale>
        <cfvo type="min"/>
        <cfvo type="percentile" val="50"/>
        <cfvo type="max"/>
        <color rgb="FFF8696B"/>
        <color rgb="FFFFEB84"/>
        <color rgb="FF63BE7B"/>
      </colorScale>
    </cfRule>
  </conditionalFormatting>
  <conditionalFormatting sqref="J6">
    <cfRule type="colorScale" priority="5">
      <colorScale>
        <cfvo type="min"/>
        <cfvo type="percentile" val="50"/>
        <cfvo type="max"/>
        <color rgb="FFF8696B"/>
        <color rgb="FFFFEB84"/>
        <color rgb="FF63BE7B"/>
      </colorScale>
    </cfRule>
  </conditionalFormatting>
  <conditionalFormatting sqref="O6">
    <cfRule type="colorScale" priority="2">
      <colorScale>
        <cfvo type="min"/>
        <cfvo type="percentile" val="50"/>
        <cfvo type="max"/>
        <color rgb="FFF8696B"/>
        <color rgb="FFFFEB84"/>
        <color rgb="FF63BE7B"/>
      </colorScale>
    </cfRule>
  </conditionalFormatting>
  <conditionalFormatting sqref="O7:O32">
    <cfRule type="colorScale" priority="1">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hyperlink ref="B7" location="'2PORH'!A1" display="Porcentaje de cuerpos de agua con planes de ordenamiento del recurso hídrico (PORH) adoptados"/>
    <hyperlink ref="B8" location="'3PSMV'!_Toc467769470" display="Porcentaje de Planes de Saneamiento y Manejo de Vertimientos (PSMV) con seguimiento"/>
    <hyperlink ref="B9" location="'4UsoAguas'!_Toc467769471" display="Porcentaje de cuerpos de agua con reglamentación del uso de las aguas"/>
    <hyperlink ref="B10" location="'5PUEAA'!_Toc467769472" display="Porcentaje de Programas de Uso Eficiente y Ahorro del Agua (PUEAA) con seguimiento"/>
    <hyperlink ref="B11" location="'6POMCASejec'!_Toc467769473" display="Porcentaje de Planes de Ordenación y Manejo de Cuencas (POMCAS), Planes de Manejo de Acuíferos (PMA) y Planes de Manejo de Microcuencas (PMM) en ejecución"/>
    <hyperlink ref="B12" location="'7Clima'!_Toc467769474" display="Porcentaje de entes territoriales asesorados en la incorporación, planificación y ejecución de acciones relacionadas con cambio climático en el marco de los instrumentos de planificación territorial"/>
    <hyperlink ref="B13" location="'8Suelo'!_Toc467769475" display="Porcentaje de suelos degradados en recuperación o rehabilitación"/>
    <hyperlink ref="B14" location="'9RUNAP'!_Toc467769476" display="Porcentaje de la superficie de áreas protegidas regionales declaradas, homologadas o recategorizadas, inscritas en el RUNAP"/>
    <hyperlink ref="B15" location="'10Paramos'!_Toc467769477" display="Porcentaje de páramos delimitados por el MADS, con zonificación y régimen de usos adoptados por la CAR"/>
    <hyperlink ref="B16" location="'11Forest'!_Toc467769478" display="Porcentaje de avance en la formulación del Plan de Ordenación Forestal"/>
    <hyperlink ref="B17" location="'12PlanesAP'!_Toc467769479" display="Porcentaje de áreas protegidas con planes de manejo en ejecución"/>
    <hyperlink ref="B18" location="'13Amenaz'!_Toc467769480" display="Porcentaje de especies amenazadas con medidas de conservación y manejo en ejecución"/>
    <hyperlink ref="B19" location="'14Invasor'!_Toc467769481" display="Porcentaje de especies invasoras con medidas de prevención, control y manejo en ejecución"/>
    <hyperlink ref="B20" location="'15Restaura'!_Toc467769482" display="Porcentaje de áreas de ecosistemas en restauración, rehabilitación y reforestación"/>
    <hyperlink ref="B21" location="'16MIZC'!_Toc467769483" display="Implementación de acciones en manejo integrado de zonas costeras"/>
    <hyperlink ref="B22" location="'17PGIRS'!_Toc467769484" display="Porcentaje de Planes de Gestión Integral de Residuos Sólidos (PGIRS) con seguimiento a metas de aprovechamiento"/>
    <hyperlink ref="B23" location="'18Sector'!_Toc467769485" display="Porcentaje de sectores con acompañamiento para la reconversión hacia sistemas sostenibles de producción"/>
    <hyperlink ref="B24" location="'19GAU'!_Toc467769486" display="Porcentaje de ejecución de acciones en Gestión Ambiental Urbana"/>
    <hyperlink ref="B25" location="'20Negoc'!_Toc467769487" display="Implementación del Programa Regional de Negocios Verdes por la autoridad ambiental"/>
    <hyperlink ref="B27" location="'22Autor'!_Toc467769489" display="Porcentaje de autorizaciones ambientales con seguimiento"/>
    <hyperlink ref="B28" location="'23Sanc'!_Toc467769490" display="Porcentaje de Procesos Sancionatorios Resueltos"/>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30" location="'25Redes'!_Toc467769492" display="Porcentaje de redes y estaciones de monitoreo en operación"/>
    <hyperlink ref="B31" location="'26SIAC'!_Toc467769493" display="Porcentaje de actualización y reporte de la información en el SIAC"/>
    <hyperlink ref="B32" location="'27Educa'!_Toc467769494" display="Ejecución de Acciones en Educación Ambiental"/>
    <hyperlink ref="B26" location="'21TiempoT'!_Toc467769488" display="Tiempo promedio de trámite para la resolución de autorizaciones ambientales otorgadas por la corporación"/>
  </hyperlinks>
  <pageMargins left="0.31496062992125984" right="0.31496062992125984" top="0.55118110236220474" bottom="0.55118110236220474" header="0.31496062992125984" footer="0.31496062992125984"/>
  <pageSetup paperSize="178" scale="60" orientation="portrait" horizontalDpi="1200" verticalDpi="1200" r:id="rId1"/>
  <ignoredErrors>
    <ignoredError sqref="C16"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5"/>
  <sheetViews>
    <sheetView showGridLines="0" zoomScale="98" zoomScaleNormal="98" workbookViewId="0">
      <selection activeCell="L66" sqref="L66"/>
    </sheetView>
  </sheetViews>
  <sheetFormatPr baseColWidth="10" defaultColWidth="11.7109375" defaultRowHeight="15" x14ac:dyDescent="0.25"/>
  <cols>
    <col min="1" max="1" width="1.85546875" customWidth="1"/>
    <col min="2" max="2" width="12.85546875" style="5" customWidth="1"/>
    <col min="3" max="3" width="5" style="85" bestFit="1" customWidth="1"/>
    <col min="4" max="4" width="34.85546875" customWidth="1"/>
    <col min="5" max="5" width="12.140625" customWidth="1"/>
    <col min="6" max="6" width="13.7109375" customWidth="1"/>
    <col min="8" max="8" width="13.28515625" customWidth="1"/>
  </cols>
  <sheetData>
    <row r="1" spans="1:21" s="396" customFormat="1" ht="100.5" customHeight="1" thickBot="1" x14ac:dyDescent="0.3">
      <c r="A1" s="1004"/>
      <c r="B1" s="1005"/>
      <c r="C1" s="1005"/>
      <c r="D1" s="1005"/>
      <c r="E1" s="1005"/>
      <c r="F1" s="1005"/>
      <c r="G1" s="1005"/>
      <c r="H1" s="1005"/>
      <c r="I1" s="1005"/>
      <c r="J1" s="1005"/>
      <c r="K1" s="1005"/>
      <c r="L1" s="1005"/>
      <c r="M1" s="1005"/>
      <c r="N1" s="1005"/>
      <c r="O1" s="1005"/>
      <c r="P1" s="1006"/>
      <c r="Q1"/>
      <c r="R1"/>
    </row>
    <row r="2" spans="1:21" s="397" customFormat="1" ht="16.5" thickBot="1" x14ac:dyDescent="0.3">
      <c r="A2" s="1012" t="str">
        <f>'Datos Generales'!C5</f>
        <v>Corporación Autónoma Regional del Magdalena – CORPAMAG</v>
      </c>
      <c r="B2" s="1013"/>
      <c r="C2" s="1013"/>
      <c r="D2" s="1013"/>
      <c r="E2" s="1013"/>
      <c r="F2" s="1013"/>
      <c r="G2" s="1013"/>
      <c r="H2" s="1013"/>
      <c r="I2" s="1013"/>
      <c r="J2" s="1013"/>
      <c r="K2" s="1013"/>
      <c r="L2" s="1013"/>
      <c r="M2" s="1013"/>
      <c r="N2" s="1013"/>
      <c r="O2" s="1013"/>
      <c r="P2" s="1014"/>
      <c r="Q2"/>
      <c r="R2"/>
    </row>
    <row r="3" spans="1:21" s="397" customFormat="1" ht="16.5" thickBot="1" x14ac:dyDescent="0.3">
      <c r="A3" s="1007" t="s">
        <v>1320</v>
      </c>
      <c r="B3" s="1008"/>
      <c r="C3" s="1008"/>
      <c r="D3" s="1008"/>
      <c r="E3" s="1008"/>
      <c r="F3" s="1008"/>
      <c r="G3" s="1008"/>
      <c r="H3" s="1008"/>
      <c r="I3" s="1008"/>
      <c r="J3" s="1008"/>
      <c r="K3" s="1008"/>
      <c r="L3" s="1008"/>
      <c r="M3" s="1008"/>
      <c r="N3" s="1008"/>
      <c r="O3" s="1008"/>
      <c r="P3" s="1009"/>
      <c r="Q3"/>
      <c r="R3"/>
    </row>
    <row r="4" spans="1:21" s="397" customFormat="1" ht="16.5" thickBot="1" x14ac:dyDescent="0.3">
      <c r="A4" s="1010" t="s">
        <v>1319</v>
      </c>
      <c r="B4" s="1011"/>
      <c r="C4" s="1011"/>
      <c r="D4" s="1011"/>
      <c r="E4" s="432" t="str">
        <f>'Datos Generales'!C6</f>
        <v>2022-II</v>
      </c>
      <c r="F4" s="432"/>
      <c r="G4" s="432"/>
      <c r="H4" s="432"/>
      <c r="I4" s="432"/>
      <c r="J4" s="432"/>
      <c r="K4" s="432"/>
      <c r="L4" s="434"/>
      <c r="M4" s="434"/>
      <c r="N4" s="434"/>
      <c r="O4" s="434"/>
      <c r="P4" s="435"/>
      <c r="Q4"/>
      <c r="R4"/>
    </row>
    <row r="5" spans="1:21" ht="16.5" customHeight="1" thickBot="1" x14ac:dyDescent="0.3">
      <c r="A5" s="1007" t="s">
        <v>0</v>
      </c>
      <c r="B5" s="1008"/>
      <c r="C5" s="1008"/>
      <c r="D5" s="1008"/>
      <c r="E5" s="1008"/>
      <c r="F5" s="1008"/>
      <c r="G5" s="1008"/>
      <c r="H5" s="1008"/>
      <c r="I5" s="1008"/>
      <c r="J5" s="1008"/>
      <c r="K5" s="1008"/>
      <c r="L5" s="1008"/>
      <c r="M5" s="1008"/>
      <c r="N5" s="1008"/>
      <c r="O5" s="1008"/>
      <c r="P5" s="1009"/>
    </row>
    <row r="6" spans="1:21" x14ac:dyDescent="0.25">
      <c r="B6" s="1" t="s">
        <v>1</v>
      </c>
      <c r="C6" s="74"/>
      <c r="D6" s="5"/>
      <c r="E6" s="439"/>
      <c r="F6" s="5" t="s">
        <v>128</v>
      </c>
      <c r="G6" s="5"/>
      <c r="H6" s="5"/>
      <c r="I6" s="5"/>
      <c r="J6" s="5"/>
      <c r="K6" s="5"/>
      <c r="L6" s="5"/>
    </row>
    <row r="7" spans="1:21" ht="15.75" thickBot="1" x14ac:dyDescent="0.3">
      <c r="B7" s="73"/>
      <c r="C7" s="75"/>
      <c r="D7" s="5"/>
      <c r="E7" s="17"/>
      <c r="F7" s="5" t="s">
        <v>129</v>
      </c>
      <c r="G7" s="5"/>
      <c r="H7" s="5"/>
      <c r="I7" s="5"/>
      <c r="J7" s="5"/>
      <c r="K7" s="5"/>
      <c r="L7" s="5"/>
    </row>
    <row r="8" spans="1:21" ht="15.75" thickBot="1" x14ac:dyDescent="0.3">
      <c r="B8" s="168" t="s">
        <v>1192</v>
      </c>
      <c r="C8" s="225">
        <v>2022</v>
      </c>
      <c r="D8" s="214">
        <f ca="1">IF(E10="NO APLICA","NO APLICA",IF(E11="NO SE REPORTA","SIN INFORMACION",+I100))</f>
        <v>0.2</v>
      </c>
      <c r="E8" s="226"/>
      <c r="F8" s="5" t="s">
        <v>130</v>
      </c>
      <c r="G8" s="5"/>
      <c r="H8" s="5"/>
      <c r="I8" s="5"/>
      <c r="J8" s="5"/>
      <c r="K8" s="5"/>
    </row>
    <row r="9" spans="1:21" x14ac:dyDescent="0.25">
      <c r="B9" s="363" t="s">
        <v>1193</v>
      </c>
      <c r="C9" s="86"/>
      <c r="D9" s="5"/>
      <c r="E9" s="5"/>
      <c r="F9" s="5"/>
      <c r="G9" s="5"/>
      <c r="H9" s="5"/>
      <c r="I9" s="5"/>
      <c r="J9" s="5"/>
      <c r="K9" s="5"/>
    </row>
    <row r="10" spans="1:21" x14ac:dyDescent="0.25">
      <c r="B10" s="1015" t="s">
        <v>1250</v>
      </c>
      <c r="C10" s="1015"/>
      <c r="D10" s="1015"/>
      <c r="E10" s="366" t="s">
        <v>1247</v>
      </c>
      <c r="F10" s="102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23"/>
      <c r="H10" s="1023"/>
      <c r="I10" s="1023"/>
      <c r="J10" s="1023"/>
      <c r="K10" s="1023"/>
      <c r="L10" s="1023"/>
      <c r="M10" s="1023"/>
      <c r="N10" s="1023"/>
      <c r="O10" s="1023"/>
      <c r="P10" s="1023"/>
      <c r="Q10" s="1023"/>
      <c r="R10" s="1023"/>
      <c r="S10" s="1023"/>
      <c r="T10" s="5"/>
      <c r="U10" s="5"/>
    </row>
    <row r="11" spans="1:21" ht="14.45" customHeight="1" x14ac:dyDescent="0.25">
      <c r="B11" s="365"/>
      <c r="C11" s="86"/>
      <c r="D11" s="169" t="str">
        <f>IF(E10="SI APLICA","¿El indicador no se reporta por limitaciones de información disponible? ","")</f>
        <v xml:space="preserve">¿El indicador no se reporta por limitaciones de información disponible? </v>
      </c>
      <c r="E11" s="367" t="s">
        <v>1249</v>
      </c>
      <c r="F11" s="1016" t="s">
        <v>1804</v>
      </c>
      <c r="G11" s="1017"/>
      <c r="H11" s="1017"/>
      <c r="I11" s="1017"/>
      <c r="J11" s="1017"/>
      <c r="K11" s="1017"/>
      <c r="L11" s="1017"/>
      <c r="M11" s="1017"/>
      <c r="N11" s="1017"/>
      <c r="O11" s="1017"/>
      <c r="P11" s="1017"/>
      <c r="Q11" s="1017"/>
      <c r="R11" s="1017"/>
      <c r="S11" s="1017"/>
    </row>
    <row r="12" spans="1:21" ht="23.45" customHeight="1" x14ac:dyDescent="0.25">
      <c r="B12" s="363"/>
      <c r="C12" s="86"/>
      <c r="D12" s="395" t="str">
        <f>IF(E11="SI SE REPORTA","¿Qué programas o proyectos del Plan de Acción están asociados al indicador? ","")</f>
        <v xml:space="preserve">¿Qué programas o proyectos del Plan de Acción están asociados al indicador? </v>
      </c>
      <c r="E12" s="1018" t="s">
        <v>1901</v>
      </c>
      <c r="F12" s="1018"/>
      <c r="G12" s="1018"/>
      <c r="H12" s="1018"/>
      <c r="I12" s="1018"/>
      <c r="J12" s="1018"/>
      <c r="K12" s="1018"/>
      <c r="L12" s="1018"/>
      <c r="M12" s="1018"/>
      <c r="N12" s="1018"/>
      <c r="O12" s="1018"/>
      <c r="P12" s="1018"/>
      <c r="Q12" s="1018"/>
      <c r="R12" s="1018"/>
    </row>
    <row r="13" spans="1:21" ht="21.95" customHeight="1" x14ac:dyDescent="0.25">
      <c r="B13" s="363"/>
      <c r="C13" s="86"/>
      <c r="D13" s="169" t="s">
        <v>1252</v>
      </c>
      <c r="E13" s="1019"/>
      <c r="F13" s="1020"/>
      <c r="G13" s="1020"/>
      <c r="H13" s="1020"/>
      <c r="I13" s="1020"/>
      <c r="J13" s="1020"/>
      <c r="K13" s="1020"/>
      <c r="L13" s="1020"/>
      <c r="M13" s="1020"/>
      <c r="N13" s="1020"/>
      <c r="O13" s="1020"/>
      <c r="P13" s="1020"/>
      <c r="Q13" s="1020"/>
      <c r="R13" s="1021"/>
    </row>
    <row r="14" spans="1:21" ht="7.15" customHeight="1" thickBot="1" x14ac:dyDescent="0.3">
      <c r="B14" s="363"/>
      <c r="C14" s="86"/>
      <c r="D14" s="5"/>
      <c r="E14" s="5"/>
      <c r="F14" s="5"/>
      <c r="G14" s="5"/>
      <c r="H14" s="5"/>
      <c r="I14" s="5"/>
      <c r="J14" s="5"/>
      <c r="K14" s="5"/>
    </row>
    <row r="15" spans="1:21" ht="15.6" customHeight="1" thickBot="1" x14ac:dyDescent="0.3">
      <c r="B15" s="1063" t="s">
        <v>2</v>
      </c>
      <c r="C15" s="100"/>
      <c r="D15" s="1036" t="s">
        <v>3</v>
      </c>
      <c r="E15" s="1037"/>
      <c r="F15" s="1037"/>
      <c r="G15" s="1037"/>
      <c r="H15" s="1037"/>
      <c r="I15" s="1037"/>
      <c r="J15" s="1037"/>
      <c r="K15" s="1038"/>
    </row>
    <row r="16" spans="1:21" ht="36.75" thickBot="1" x14ac:dyDescent="0.3">
      <c r="B16" s="1064"/>
      <c r="C16" s="106"/>
      <c r="D16" s="42" t="s">
        <v>4</v>
      </c>
      <c r="E16" s="204">
        <v>14</v>
      </c>
      <c r="F16" s="5"/>
      <c r="G16" s="5"/>
      <c r="H16" s="5"/>
      <c r="I16" s="5"/>
      <c r="J16" s="5"/>
      <c r="K16" s="21"/>
    </row>
    <row r="17" spans="2:11" ht="36.75" thickBot="1" x14ac:dyDescent="0.3">
      <c r="B17" s="1064"/>
      <c r="C17" s="106"/>
      <c r="D17" s="40" t="s">
        <v>5</v>
      </c>
      <c r="E17" s="204">
        <v>1</v>
      </c>
      <c r="F17" s="5"/>
      <c r="G17" s="5"/>
      <c r="H17" s="5"/>
      <c r="I17" s="5"/>
      <c r="J17" s="5"/>
      <c r="K17" s="21"/>
    </row>
    <row r="18" spans="2:11" ht="48.75" thickBot="1" x14ac:dyDescent="0.3">
      <c r="B18" s="1064"/>
      <c r="C18" s="106"/>
      <c r="D18" s="40" t="s">
        <v>1452</v>
      </c>
      <c r="E18" s="204">
        <v>4</v>
      </c>
      <c r="F18" s="5"/>
      <c r="G18" s="5"/>
      <c r="H18" s="5"/>
      <c r="I18" s="5"/>
      <c r="J18" s="5"/>
      <c r="K18" s="21"/>
    </row>
    <row r="19" spans="2:11" ht="24.75" thickBot="1" x14ac:dyDescent="0.3">
      <c r="B19" s="1064"/>
      <c r="C19" s="106"/>
      <c r="D19" s="40" t="s">
        <v>1453</v>
      </c>
      <c r="E19" s="204">
        <v>1</v>
      </c>
      <c r="F19" s="5"/>
      <c r="G19" s="5"/>
      <c r="H19" s="5"/>
      <c r="I19" s="5"/>
      <c r="J19" s="5"/>
      <c r="K19" s="21"/>
    </row>
    <row r="20" spans="2:11" ht="24.75" thickBot="1" x14ac:dyDescent="0.3">
      <c r="B20" s="1064"/>
      <c r="C20" s="106"/>
      <c r="D20" s="40" t="s">
        <v>1454</v>
      </c>
      <c r="E20" s="204">
        <v>1</v>
      </c>
      <c r="F20" s="5"/>
      <c r="G20" s="5"/>
      <c r="H20" s="5"/>
      <c r="I20" s="5"/>
      <c r="J20" s="5"/>
      <c r="K20" s="21"/>
    </row>
    <row r="21" spans="2:11" ht="24.75" thickBot="1" x14ac:dyDescent="0.3">
      <c r="B21" s="1065"/>
      <c r="C21" s="106"/>
      <c r="D21" s="40" t="s">
        <v>1455</v>
      </c>
      <c r="E21" s="204">
        <v>0</v>
      </c>
      <c r="F21" s="5"/>
      <c r="G21" s="5"/>
      <c r="H21" s="5"/>
      <c r="I21" s="5"/>
      <c r="J21" s="5"/>
      <c r="K21" s="21"/>
    </row>
    <row r="22" spans="2:11" ht="14.1" customHeight="1" x14ac:dyDescent="0.25">
      <c r="B22" s="269"/>
      <c r="C22" s="101"/>
      <c r="D22" s="1039" t="s">
        <v>6</v>
      </c>
      <c r="E22" s="1040"/>
      <c r="F22" s="1040"/>
      <c r="G22" s="1040"/>
      <c r="H22" s="1040"/>
      <c r="I22" s="1040"/>
      <c r="J22" s="1040"/>
      <c r="K22" s="1041"/>
    </row>
    <row r="23" spans="2:11" ht="14.1" customHeight="1" thickBot="1" x14ac:dyDescent="0.3">
      <c r="B23" s="269"/>
      <c r="C23" s="101"/>
      <c r="D23" s="1039" t="s">
        <v>7</v>
      </c>
      <c r="E23" s="1040"/>
      <c r="F23" s="1040"/>
      <c r="G23" s="1040"/>
      <c r="H23" s="1040"/>
      <c r="I23" s="1040"/>
      <c r="J23" s="1040"/>
      <c r="K23" s="1041"/>
    </row>
    <row r="24" spans="2:11" ht="54" customHeight="1" thickBot="1" x14ac:dyDescent="0.3">
      <c r="B24" s="269"/>
      <c r="C24" s="8"/>
      <c r="D24" s="96" t="s">
        <v>8</v>
      </c>
      <c r="E24" s="96" t="s">
        <v>9</v>
      </c>
      <c r="F24" s="96" t="s">
        <v>10</v>
      </c>
      <c r="G24" s="96" t="s">
        <v>1194</v>
      </c>
      <c r="H24" s="260" t="s">
        <v>1456</v>
      </c>
      <c r="I24" s="260" t="s">
        <v>1457</v>
      </c>
      <c r="J24" s="18"/>
      <c r="K24" s="19"/>
    </row>
    <row r="25" spans="2:11" s="186" customFormat="1" ht="36.75" thickBot="1" x14ac:dyDescent="0.3">
      <c r="B25" s="219"/>
      <c r="C25" s="8">
        <v>1</v>
      </c>
      <c r="D25" s="158" t="s">
        <v>11</v>
      </c>
      <c r="E25" s="158" t="s">
        <v>1766</v>
      </c>
      <c r="F25" s="158" t="s">
        <v>1767</v>
      </c>
      <c r="G25" s="184">
        <v>533258</v>
      </c>
      <c r="H25" s="29" t="s">
        <v>1770</v>
      </c>
      <c r="I25" s="221"/>
      <c r="J25" s="18"/>
      <c r="K25" s="19"/>
    </row>
    <row r="26" spans="2:11" s="186" customFormat="1" ht="36.75" thickBot="1" x14ac:dyDescent="0.3">
      <c r="B26" s="219"/>
      <c r="C26" s="8">
        <v>2</v>
      </c>
      <c r="D26" s="158" t="s">
        <v>12</v>
      </c>
      <c r="E26" s="158" t="s">
        <v>1768</v>
      </c>
      <c r="F26" s="158" t="s">
        <v>1769</v>
      </c>
      <c r="G26" s="184">
        <v>5900</v>
      </c>
      <c r="H26" s="29" t="s">
        <v>1770</v>
      </c>
      <c r="I26" s="221"/>
      <c r="J26" s="18"/>
      <c r="K26" s="19"/>
    </row>
    <row r="27" spans="2:11" s="186" customFormat="1" ht="14.1" customHeight="1" thickBot="1" x14ac:dyDescent="0.3">
      <c r="B27" s="219"/>
      <c r="C27" s="8">
        <v>3</v>
      </c>
      <c r="D27" s="158" t="s">
        <v>11</v>
      </c>
      <c r="E27" s="158"/>
      <c r="F27" s="158"/>
      <c r="G27" s="184"/>
      <c r="H27" s="29"/>
      <c r="I27" s="221"/>
      <c r="J27" s="18"/>
      <c r="K27" s="19"/>
    </row>
    <row r="28" spans="2:11" s="186" customFormat="1" ht="14.1" customHeight="1" thickBot="1" x14ac:dyDescent="0.3">
      <c r="B28" s="219"/>
      <c r="C28" s="8">
        <v>4</v>
      </c>
      <c r="D28" s="158" t="s">
        <v>11</v>
      </c>
      <c r="E28" s="158"/>
      <c r="F28" s="158"/>
      <c r="G28" s="184"/>
      <c r="H28" s="29"/>
      <c r="I28" s="221"/>
      <c r="J28" s="18"/>
      <c r="K28" s="19"/>
    </row>
    <row r="29" spans="2:11" s="186" customFormat="1" ht="14.1" customHeight="1" thickBot="1" x14ac:dyDescent="0.3">
      <c r="B29" s="219"/>
      <c r="C29" s="8">
        <v>5</v>
      </c>
      <c r="D29" s="158" t="s">
        <v>12</v>
      </c>
      <c r="E29" s="158"/>
      <c r="F29" s="158"/>
      <c r="G29" s="184"/>
      <c r="H29" s="29"/>
      <c r="I29" s="221"/>
      <c r="J29" s="18"/>
      <c r="K29" s="19"/>
    </row>
    <row r="30" spans="2:11" s="186" customFormat="1" ht="14.1" customHeight="1" thickBot="1" x14ac:dyDescent="0.3">
      <c r="B30" s="219"/>
      <c r="C30" s="8">
        <v>6</v>
      </c>
      <c r="D30" s="158" t="s">
        <v>11</v>
      </c>
      <c r="E30" s="158"/>
      <c r="F30" s="158"/>
      <c r="G30" s="184"/>
      <c r="H30" s="29"/>
      <c r="I30" s="221"/>
      <c r="J30" s="18"/>
      <c r="K30" s="19"/>
    </row>
    <row r="31" spans="2:11" s="186" customFormat="1" ht="14.1" customHeight="1" thickBot="1" x14ac:dyDescent="0.3">
      <c r="B31" s="219"/>
      <c r="C31" s="8">
        <v>7</v>
      </c>
      <c r="D31" s="158" t="s">
        <v>11</v>
      </c>
      <c r="E31" s="158"/>
      <c r="F31" s="158"/>
      <c r="G31" s="184"/>
      <c r="H31" s="29"/>
      <c r="I31" s="221"/>
      <c r="J31" s="18"/>
      <c r="K31" s="19"/>
    </row>
    <row r="32" spans="2:11" s="186" customFormat="1" ht="14.1" customHeight="1" thickBot="1" x14ac:dyDescent="0.3">
      <c r="B32" s="219"/>
      <c r="C32" s="8">
        <v>8</v>
      </c>
      <c r="D32" s="158" t="s">
        <v>12</v>
      </c>
      <c r="E32" s="158"/>
      <c r="F32" s="158"/>
      <c r="G32" s="184"/>
      <c r="H32" s="29"/>
      <c r="I32" s="221"/>
      <c r="J32" s="18"/>
      <c r="K32" s="19"/>
    </row>
    <row r="33" spans="2:11" s="186" customFormat="1" ht="14.1" customHeight="1" thickBot="1" x14ac:dyDescent="0.3">
      <c r="B33" s="219"/>
      <c r="C33" s="8">
        <v>9</v>
      </c>
      <c r="D33" s="158" t="s">
        <v>11</v>
      </c>
      <c r="E33" s="158"/>
      <c r="F33" s="158"/>
      <c r="G33" s="184"/>
      <c r="H33" s="29"/>
      <c r="I33" s="221"/>
      <c r="J33" s="18"/>
      <c r="K33" s="19"/>
    </row>
    <row r="34" spans="2:11" s="186" customFormat="1" ht="14.1" customHeight="1" thickBot="1" x14ac:dyDescent="0.3">
      <c r="B34" s="219"/>
      <c r="C34" s="8">
        <v>10</v>
      </c>
      <c r="D34" s="158" t="s">
        <v>11</v>
      </c>
      <c r="E34" s="158"/>
      <c r="F34" s="158"/>
      <c r="G34" s="184"/>
      <c r="H34" s="29"/>
      <c r="I34" s="221"/>
      <c r="J34" s="18"/>
      <c r="K34" s="19"/>
    </row>
    <row r="35" spans="2:11" s="186" customFormat="1" ht="14.1" customHeight="1" thickBot="1" x14ac:dyDescent="0.3">
      <c r="B35" s="219"/>
      <c r="C35" s="8">
        <v>11</v>
      </c>
      <c r="D35" s="158" t="s">
        <v>12</v>
      </c>
      <c r="E35" s="158"/>
      <c r="F35" s="158"/>
      <c r="G35" s="184"/>
      <c r="H35" s="29"/>
      <c r="I35" s="221"/>
      <c r="J35" s="18"/>
      <c r="K35" s="19"/>
    </row>
    <row r="36" spans="2:11" s="186" customFormat="1" ht="14.1" customHeight="1" thickBot="1" x14ac:dyDescent="0.3">
      <c r="B36" s="219"/>
      <c r="C36" s="8">
        <v>12</v>
      </c>
      <c r="D36" s="158" t="s">
        <v>12</v>
      </c>
      <c r="E36" s="158"/>
      <c r="F36" s="158"/>
      <c r="G36" s="184"/>
      <c r="H36" s="29"/>
      <c r="I36" s="221"/>
      <c r="J36" s="18"/>
      <c r="K36" s="19"/>
    </row>
    <row r="37" spans="2:11" s="186" customFormat="1" ht="14.1" customHeight="1" thickBot="1" x14ac:dyDescent="0.3">
      <c r="B37" s="219"/>
      <c r="C37" s="8">
        <v>13</v>
      </c>
      <c r="D37" s="158" t="s">
        <v>13</v>
      </c>
      <c r="E37" s="158"/>
      <c r="F37" s="158"/>
      <c r="G37" s="184"/>
      <c r="H37" s="29"/>
      <c r="I37" s="221"/>
      <c r="J37" s="18"/>
      <c r="K37" s="19"/>
    </row>
    <row r="38" spans="2:11" s="186" customFormat="1" ht="14.1" customHeight="1" thickBot="1" x14ac:dyDescent="0.3">
      <c r="B38" s="219"/>
      <c r="C38" s="8">
        <v>14</v>
      </c>
      <c r="D38" s="158" t="s">
        <v>13</v>
      </c>
      <c r="E38" s="158"/>
      <c r="F38" s="158"/>
      <c r="G38" s="184"/>
      <c r="H38" s="29"/>
      <c r="I38" s="221"/>
      <c r="J38" s="18"/>
      <c r="K38" s="19"/>
    </row>
    <row r="39" spans="2:11" ht="14.1" customHeight="1" x14ac:dyDescent="0.25">
      <c r="B39" s="269"/>
      <c r="C39" s="101"/>
      <c r="D39" s="1027" t="s">
        <v>14</v>
      </c>
      <c r="E39" s="1028"/>
      <c r="F39" s="1028"/>
      <c r="G39" s="1028"/>
      <c r="H39" s="1028"/>
      <c r="I39" s="1028"/>
      <c r="J39" s="1028"/>
      <c r="K39" s="1029"/>
    </row>
    <row r="40" spans="2:11" ht="14.1" customHeight="1" x14ac:dyDescent="0.25">
      <c r="B40" s="269"/>
      <c r="C40" s="101"/>
      <c r="D40" s="1066" t="s">
        <v>15</v>
      </c>
      <c r="E40" s="1067"/>
      <c r="F40" s="1067"/>
      <c r="G40" s="1067"/>
      <c r="H40" s="1067"/>
      <c r="I40" s="1067"/>
      <c r="J40" s="1067"/>
      <c r="K40" s="1068"/>
    </row>
    <row r="41" spans="2:11" ht="14.1" customHeight="1" x14ac:dyDescent="0.25">
      <c r="B41" s="269"/>
      <c r="C41" s="101"/>
      <c r="D41" s="1066" t="s">
        <v>16</v>
      </c>
      <c r="E41" s="1067"/>
      <c r="F41" s="1067"/>
      <c r="G41" s="1067"/>
      <c r="H41" s="1067"/>
      <c r="I41" s="1067"/>
      <c r="J41" s="1067"/>
      <c r="K41" s="1068"/>
    </row>
    <row r="42" spans="2:11" ht="14.1" customHeight="1" x14ac:dyDescent="0.25">
      <c r="B42" s="269"/>
      <c r="C42" s="101"/>
      <c r="D42" s="1066" t="s">
        <v>17</v>
      </c>
      <c r="E42" s="1067"/>
      <c r="F42" s="1067"/>
      <c r="G42" s="1067"/>
      <c r="H42" s="1067"/>
      <c r="I42" s="1067"/>
      <c r="J42" s="1067"/>
      <c r="K42" s="1068"/>
    </row>
    <row r="43" spans="2:11" ht="14.1" customHeight="1" thickBot="1" x14ac:dyDescent="0.3">
      <c r="B43" s="269"/>
      <c r="C43" s="101"/>
      <c r="D43" s="1030" t="s">
        <v>18</v>
      </c>
      <c r="E43" s="1031"/>
      <c r="F43" s="1031"/>
      <c r="G43" s="1031"/>
      <c r="H43" s="1031"/>
      <c r="I43" s="1031"/>
      <c r="J43" s="1031"/>
      <c r="K43" s="1032"/>
    </row>
    <row r="44" spans="2:11" ht="14.1" customHeight="1" thickBot="1" x14ac:dyDescent="0.3">
      <c r="B44" s="269"/>
      <c r="C44" s="96" t="s">
        <v>19</v>
      </c>
      <c r="D44" s="42" t="s">
        <v>8</v>
      </c>
      <c r="E44" s="42" t="s">
        <v>9</v>
      </c>
      <c r="F44" s="38" t="s">
        <v>10</v>
      </c>
      <c r="G44" s="88" t="s">
        <v>20</v>
      </c>
      <c r="H44" s="88" t="s">
        <v>21</v>
      </c>
      <c r="I44" s="88" t="s">
        <v>22</v>
      </c>
      <c r="J44" s="88" t="s">
        <v>23</v>
      </c>
      <c r="K44" s="112"/>
    </row>
    <row r="45" spans="2:11" s="186" customFormat="1" ht="14.1" customHeight="1" thickBot="1" x14ac:dyDescent="0.3">
      <c r="B45" s="219"/>
      <c r="C45" s="8">
        <v>1</v>
      </c>
      <c r="D45" s="158" t="s">
        <v>11</v>
      </c>
      <c r="E45" s="158" t="s">
        <v>1766</v>
      </c>
      <c r="F45" s="158" t="s">
        <v>1767</v>
      </c>
      <c r="G45" s="31">
        <v>0</v>
      </c>
      <c r="H45" s="31">
        <v>0.2</v>
      </c>
      <c r="I45" s="31">
        <v>0.4</v>
      </c>
      <c r="J45" s="31">
        <v>0.4</v>
      </c>
      <c r="K45" s="110"/>
    </row>
    <row r="46" spans="2:11" s="186" customFormat="1" ht="14.1" customHeight="1" thickBot="1" x14ac:dyDescent="0.3">
      <c r="B46" s="219"/>
      <c r="C46" s="8">
        <v>2</v>
      </c>
      <c r="D46" s="158" t="s">
        <v>12</v>
      </c>
      <c r="E46" s="158" t="s">
        <v>1768</v>
      </c>
      <c r="F46" s="158" t="s">
        <v>1769</v>
      </c>
      <c r="G46" s="31">
        <v>0</v>
      </c>
      <c r="H46" s="31">
        <v>0.2</v>
      </c>
      <c r="I46" s="31">
        <v>0.4</v>
      </c>
      <c r="J46" s="31">
        <v>0.4</v>
      </c>
      <c r="K46" s="110"/>
    </row>
    <row r="47" spans="2:11" s="186" customFormat="1" ht="14.1" customHeight="1" thickBot="1" x14ac:dyDescent="0.3">
      <c r="B47" s="219"/>
      <c r="C47" s="8">
        <v>3</v>
      </c>
      <c r="D47" s="158" t="s">
        <v>11</v>
      </c>
      <c r="E47" s="158"/>
      <c r="F47" s="158"/>
      <c r="G47" s="31"/>
      <c r="H47" s="31"/>
      <c r="I47" s="31"/>
      <c r="J47" s="31"/>
      <c r="K47" s="110"/>
    </row>
    <row r="48" spans="2:11" s="186" customFormat="1" ht="14.1" customHeight="1" thickBot="1" x14ac:dyDescent="0.3">
      <c r="B48" s="219"/>
      <c r="C48" s="8">
        <v>4</v>
      </c>
      <c r="D48" s="158" t="s">
        <v>12</v>
      </c>
      <c r="E48" s="158"/>
      <c r="F48" s="158"/>
      <c r="G48" s="31"/>
      <c r="H48" s="31"/>
      <c r="I48" s="31"/>
      <c r="J48" s="31"/>
      <c r="K48" s="110"/>
    </row>
    <row r="49" spans="2:11" s="186" customFormat="1" ht="14.1" customHeight="1" thickBot="1" x14ac:dyDescent="0.3">
      <c r="B49" s="219"/>
      <c r="C49" s="8">
        <v>5</v>
      </c>
      <c r="D49" s="158" t="s">
        <v>12</v>
      </c>
      <c r="E49" s="158"/>
      <c r="F49" s="158"/>
      <c r="G49" s="31"/>
      <c r="H49" s="31"/>
      <c r="I49" s="31"/>
      <c r="J49" s="31"/>
      <c r="K49" s="110"/>
    </row>
    <row r="50" spans="2:11" s="186" customFormat="1" ht="14.1" customHeight="1" thickBot="1" x14ac:dyDescent="0.3">
      <c r="B50" s="219"/>
      <c r="C50" s="8">
        <v>6</v>
      </c>
      <c r="D50" s="158" t="s">
        <v>11</v>
      </c>
      <c r="E50" s="158"/>
      <c r="F50" s="158"/>
      <c r="G50" s="31"/>
      <c r="H50" s="31"/>
      <c r="I50" s="31"/>
      <c r="J50" s="31"/>
      <c r="K50" s="110"/>
    </row>
    <row r="51" spans="2:11" s="186" customFormat="1" ht="14.1" customHeight="1" thickBot="1" x14ac:dyDescent="0.3">
      <c r="B51" s="219"/>
      <c r="C51" s="8">
        <v>7</v>
      </c>
      <c r="D51" s="158" t="s">
        <v>11</v>
      </c>
      <c r="E51" s="158"/>
      <c r="F51" s="158"/>
      <c r="G51" s="31"/>
      <c r="H51" s="31"/>
      <c r="I51" s="31"/>
      <c r="J51" s="31"/>
      <c r="K51" s="110"/>
    </row>
    <row r="52" spans="2:11" s="186" customFormat="1" ht="14.1" customHeight="1" thickBot="1" x14ac:dyDescent="0.3">
      <c r="B52" s="219"/>
      <c r="C52" s="8">
        <v>8</v>
      </c>
      <c r="D52" s="158" t="s">
        <v>12</v>
      </c>
      <c r="E52" s="158"/>
      <c r="F52" s="158"/>
      <c r="G52" s="31"/>
      <c r="H52" s="31"/>
      <c r="I52" s="31"/>
      <c r="J52" s="31"/>
      <c r="K52" s="110"/>
    </row>
    <row r="53" spans="2:11" s="186" customFormat="1" ht="14.1" customHeight="1" thickBot="1" x14ac:dyDescent="0.3">
      <c r="B53" s="219"/>
      <c r="C53" s="8">
        <v>9</v>
      </c>
      <c r="D53" s="158" t="s">
        <v>12</v>
      </c>
      <c r="E53" s="158"/>
      <c r="F53" s="158"/>
      <c r="G53" s="31"/>
      <c r="H53" s="31"/>
      <c r="I53" s="31"/>
      <c r="J53" s="31"/>
      <c r="K53" s="110"/>
    </row>
    <row r="54" spans="2:11" s="186" customFormat="1" ht="14.1" customHeight="1" thickBot="1" x14ac:dyDescent="0.3">
      <c r="B54" s="219"/>
      <c r="C54" s="8">
        <v>10</v>
      </c>
      <c r="D54" s="158" t="s">
        <v>11</v>
      </c>
      <c r="E54" s="158"/>
      <c r="F54" s="158"/>
      <c r="G54" s="31"/>
      <c r="H54" s="31"/>
      <c r="I54" s="31"/>
      <c r="J54" s="31"/>
      <c r="K54" s="110"/>
    </row>
    <row r="55" spans="2:11" s="186" customFormat="1" ht="14.1" customHeight="1" thickBot="1" x14ac:dyDescent="0.3">
      <c r="B55" s="219"/>
      <c r="C55" s="8">
        <v>11</v>
      </c>
      <c r="D55" s="158" t="s">
        <v>11</v>
      </c>
      <c r="E55" s="158"/>
      <c r="F55" s="158"/>
      <c r="G55" s="31"/>
      <c r="H55" s="31"/>
      <c r="I55" s="31"/>
      <c r="J55" s="31"/>
      <c r="K55" s="110"/>
    </row>
    <row r="56" spans="2:11" s="186" customFormat="1" ht="14.1" customHeight="1" thickBot="1" x14ac:dyDescent="0.3">
      <c r="B56" s="219"/>
      <c r="C56" s="8">
        <v>12</v>
      </c>
      <c r="D56" s="158" t="s">
        <v>12</v>
      </c>
      <c r="E56" s="158"/>
      <c r="F56" s="158"/>
      <c r="G56" s="31"/>
      <c r="H56" s="31"/>
      <c r="I56" s="31"/>
      <c r="J56" s="31"/>
      <c r="K56" s="110"/>
    </row>
    <row r="57" spans="2:11" s="186" customFormat="1" ht="14.1" customHeight="1" thickBot="1" x14ac:dyDescent="0.3">
      <c r="B57" s="219"/>
      <c r="C57" s="8">
        <v>13</v>
      </c>
      <c r="D57" s="158" t="s">
        <v>12</v>
      </c>
      <c r="E57" s="158"/>
      <c r="F57" s="158"/>
      <c r="G57" s="31"/>
      <c r="H57" s="31"/>
      <c r="I57" s="31"/>
      <c r="J57" s="31"/>
      <c r="K57" s="110"/>
    </row>
    <row r="58" spans="2:11" s="186" customFormat="1" ht="14.1" customHeight="1" thickBot="1" x14ac:dyDescent="0.3">
      <c r="B58" s="219"/>
      <c r="C58" s="8">
        <v>14</v>
      </c>
      <c r="D58" s="158" t="s">
        <v>13</v>
      </c>
      <c r="E58" s="158"/>
      <c r="F58" s="158"/>
      <c r="G58" s="31"/>
      <c r="H58" s="31"/>
      <c r="I58" s="31"/>
      <c r="J58" s="31"/>
      <c r="K58" s="111"/>
    </row>
    <row r="59" spans="2:11" ht="14.1" customHeight="1" x14ac:dyDescent="0.25">
      <c r="B59" s="269"/>
      <c r="C59" s="101"/>
      <c r="D59" s="1036" t="s">
        <v>24</v>
      </c>
      <c r="E59" s="1037"/>
      <c r="F59" s="1037"/>
      <c r="G59" s="1037"/>
      <c r="H59" s="1037"/>
      <c r="I59" s="1037"/>
      <c r="J59" s="1037"/>
      <c r="K59" s="1038"/>
    </row>
    <row r="60" spans="2:11" ht="14.1" customHeight="1" thickBot="1" x14ac:dyDescent="0.3">
      <c r="B60" s="269"/>
      <c r="C60" s="101"/>
      <c r="D60" s="1030" t="s">
        <v>25</v>
      </c>
      <c r="E60" s="1031"/>
      <c r="F60" s="1031"/>
      <c r="G60" s="1031"/>
      <c r="H60" s="1031"/>
      <c r="I60" s="1031"/>
      <c r="J60" s="1031"/>
      <c r="K60" s="1032"/>
    </row>
    <row r="61" spans="2:11" ht="14.1" customHeight="1" thickBot="1" x14ac:dyDescent="0.3">
      <c r="B61" s="269"/>
      <c r="C61" s="96" t="s">
        <v>19</v>
      </c>
      <c r="D61" s="42" t="s">
        <v>8</v>
      </c>
      <c r="E61" s="42" t="s">
        <v>26</v>
      </c>
      <c r="F61" s="38" t="s">
        <v>10</v>
      </c>
      <c r="G61" s="88" t="s">
        <v>20</v>
      </c>
      <c r="H61" s="88" t="s">
        <v>21</v>
      </c>
      <c r="I61" s="88" t="s">
        <v>22</v>
      </c>
      <c r="J61" s="88" t="s">
        <v>23</v>
      </c>
      <c r="K61" s="112"/>
    </row>
    <row r="62" spans="2:11" s="186" customFormat="1" ht="14.1" customHeight="1" thickBot="1" x14ac:dyDescent="0.3">
      <c r="B62" s="219"/>
      <c r="C62" s="8">
        <v>1</v>
      </c>
      <c r="D62" s="222" t="str">
        <f t="shared" ref="D62:F64" si="0">IF(ISBLANK(D45),"",D45)</f>
        <v>POMCA</v>
      </c>
      <c r="E62" s="222" t="str">
        <f t="shared" si="0"/>
        <v>SZH-2804</v>
      </c>
      <c r="F62" s="222" t="str">
        <f t="shared" si="0"/>
        <v>Río Ariguani</v>
      </c>
      <c r="G62" s="31">
        <v>0</v>
      </c>
      <c r="H62" s="31">
        <v>0.2</v>
      </c>
      <c r="I62" s="31">
        <v>0.1</v>
      </c>
      <c r="J62" s="31"/>
      <c r="K62" s="110"/>
    </row>
    <row r="63" spans="2:11" s="186" customFormat="1" ht="14.1" customHeight="1" thickBot="1" x14ac:dyDescent="0.3">
      <c r="B63" s="219"/>
      <c r="C63" s="8">
        <v>2</v>
      </c>
      <c r="D63" s="222" t="str">
        <f t="shared" si="0"/>
        <v>PMA</v>
      </c>
      <c r="E63" s="222" t="str">
        <f t="shared" si="0"/>
        <v>SAC1.11</v>
      </c>
      <c r="F63" s="222" t="str">
        <f t="shared" si="0"/>
        <v>Santa Marta</v>
      </c>
      <c r="G63" s="31">
        <v>0</v>
      </c>
      <c r="H63" s="31">
        <v>0</v>
      </c>
      <c r="I63" s="31">
        <v>0</v>
      </c>
      <c r="J63" s="31"/>
      <c r="K63" s="110"/>
    </row>
    <row r="64" spans="2:11" s="186" customFormat="1" ht="14.1" customHeight="1" thickBot="1" x14ac:dyDescent="0.3">
      <c r="B64" s="219"/>
      <c r="C64" s="8">
        <v>3</v>
      </c>
      <c r="D64" s="222" t="str">
        <f t="shared" si="0"/>
        <v>POMCA</v>
      </c>
      <c r="E64" s="222" t="str">
        <f t="shared" si="0"/>
        <v/>
      </c>
      <c r="F64" s="222" t="str">
        <f t="shared" si="0"/>
        <v/>
      </c>
      <c r="G64" s="31"/>
      <c r="H64" s="31"/>
      <c r="I64" s="31"/>
      <c r="J64" s="31"/>
      <c r="K64" s="110"/>
    </row>
    <row r="65" spans="2:11" s="186" customFormat="1" ht="14.1" customHeight="1" thickBot="1" x14ac:dyDescent="0.3">
      <c r="B65" s="219"/>
      <c r="C65" s="8">
        <v>4</v>
      </c>
      <c r="D65" s="222" t="str">
        <f t="shared" ref="D65:D75" si="1">IF(ISBLANK(D48),"",D48)</f>
        <v>PMA</v>
      </c>
      <c r="E65" s="222" t="str">
        <f t="shared" ref="E65:F75" si="2">IF(ISBLANK(E48),"",E48)</f>
        <v/>
      </c>
      <c r="F65" s="222" t="str">
        <f t="shared" si="2"/>
        <v/>
      </c>
      <c r="G65" s="31"/>
      <c r="H65" s="31"/>
      <c r="I65" s="31"/>
      <c r="J65" s="31"/>
      <c r="K65" s="110"/>
    </row>
    <row r="66" spans="2:11" s="186" customFormat="1" ht="14.1" customHeight="1" thickBot="1" x14ac:dyDescent="0.3">
      <c r="B66" s="219"/>
      <c r="C66" s="8">
        <v>5</v>
      </c>
      <c r="D66" s="222" t="str">
        <f t="shared" si="1"/>
        <v>PMA</v>
      </c>
      <c r="E66" s="222" t="str">
        <f t="shared" si="2"/>
        <v/>
      </c>
      <c r="F66" s="222" t="str">
        <f t="shared" si="2"/>
        <v/>
      </c>
      <c r="G66" s="31"/>
      <c r="H66" s="31"/>
      <c r="I66" s="31"/>
      <c r="J66" s="31"/>
      <c r="K66" s="110"/>
    </row>
    <row r="67" spans="2:11" s="186" customFormat="1" ht="14.1" customHeight="1" thickBot="1" x14ac:dyDescent="0.3">
      <c r="B67" s="219"/>
      <c r="C67" s="8">
        <v>6</v>
      </c>
      <c r="D67" s="222" t="str">
        <f t="shared" si="1"/>
        <v>POMCA</v>
      </c>
      <c r="E67" s="222" t="str">
        <f t="shared" si="2"/>
        <v/>
      </c>
      <c r="F67" s="222" t="str">
        <f t="shared" si="2"/>
        <v/>
      </c>
      <c r="G67" s="31"/>
      <c r="H67" s="31"/>
      <c r="I67" s="31"/>
      <c r="J67" s="31"/>
      <c r="K67" s="110"/>
    </row>
    <row r="68" spans="2:11" s="186" customFormat="1" ht="14.1" customHeight="1" thickBot="1" x14ac:dyDescent="0.3">
      <c r="B68" s="219"/>
      <c r="C68" s="8">
        <v>7</v>
      </c>
      <c r="D68" s="222" t="str">
        <f t="shared" si="1"/>
        <v>POMCA</v>
      </c>
      <c r="E68" s="222" t="str">
        <f t="shared" si="2"/>
        <v/>
      </c>
      <c r="F68" s="222" t="str">
        <f t="shared" si="2"/>
        <v/>
      </c>
      <c r="G68" s="31"/>
      <c r="H68" s="31"/>
      <c r="I68" s="31"/>
      <c r="J68" s="31"/>
      <c r="K68" s="110"/>
    </row>
    <row r="69" spans="2:11" s="186" customFormat="1" ht="14.1" customHeight="1" thickBot="1" x14ac:dyDescent="0.3">
      <c r="B69" s="219"/>
      <c r="C69" s="8">
        <v>8</v>
      </c>
      <c r="D69" s="222" t="str">
        <f t="shared" si="1"/>
        <v>PMA</v>
      </c>
      <c r="E69" s="222" t="str">
        <f t="shared" si="2"/>
        <v/>
      </c>
      <c r="F69" s="222" t="str">
        <f t="shared" si="2"/>
        <v/>
      </c>
      <c r="G69" s="31"/>
      <c r="H69" s="31"/>
      <c r="I69" s="31"/>
      <c r="J69" s="31"/>
      <c r="K69" s="110"/>
    </row>
    <row r="70" spans="2:11" s="186" customFormat="1" ht="14.1" customHeight="1" thickBot="1" x14ac:dyDescent="0.3">
      <c r="B70" s="219"/>
      <c r="C70" s="8">
        <v>9</v>
      </c>
      <c r="D70" s="222" t="str">
        <f t="shared" si="1"/>
        <v>PMA</v>
      </c>
      <c r="E70" s="222" t="str">
        <f t="shared" si="2"/>
        <v/>
      </c>
      <c r="F70" s="222" t="str">
        <f t="shared" si="2"/>
        <v/>
      </c>
      <c r="G70" s="31"/>
      <c r="H70" s="31"/>
      <c r="I70" s="31"/>
      <c r="J70" s="31"/>
      <c r="K70" s="110"/>
    </row>
    <row r="71" spans="2:11" s="186" customFormat="1" ht="14.1" customHeight="1" thickBot="1" x14ac:dyDescent="0.3">
      <c r="B71" s="219"/>
      <c r="C71" s="8">
        <v>10</v>
      </c>
      <c r="D71" s="222" t="str">
        <f t="shared" si="1"/>
        <v>POMCA</v>
      </c>
      <c r="E71" s="222" t="str">
        <f t="shared" si="2"/>
        <v/>
      </c>
      <c r="F71" s="222" t="str">
        <f t="shared" si="2"/>
        <v/>
      </c>
      <c r="G71" s="31"/>
      <c r="H71" s="31"/>
      <c r="I71" s="31"/>
      <c r="J71" s="31"/>
      <c r="K71" s="110"/>
    </row>
    <row r="72" spans="2:11" s="186" customFormat="1" ht="14.1" customHeight="1" thickBot="1" x14ac:dyDescent="0.3">
      <c r="B72" s="219"/>
      <c r="C72" s="8">
        <v>11</v>
      </c>
      <c r="D72" s="222" t="str">
        <f t="shared" si="1"/>
        <v>POMCA</v>
      </c>
      <c r="E72" s="222" t="str">
        <f t="shared" si="2"/>
        <v/>
      </c>
      <c r="F72" s="222" t="str">
        <f t="shared" si="2"/>
        <v/>
      </c>
      <c r="G72" s="31"/>
      <c r="H72" s="31"/>
      <c r="I72" s="31"/>
      <c r="J72" s="31"/>
      <c r="K72" s="110"/>
    </row>
    <row r="73" spans="2:11" s="186" customFormat="1" ht="14.1" customHeight="1" thickBot="1" x14ac:dyDescent="0.3">
      <c r="B73" s="219"/>
      <c r="C73" s="8">
        <v>12</v>
      </c>
      <c r="D73" s="222" t="str">
        <f t="shared" si="1"/>
        <v>PMA</v>
      </c>
      <c r="E73" s="222" t="str">
        <f t="shared" si="2"/>
        <v/>
      </c>
      <c r="F73" s="222" t="str">
        <f t="shared" si="2"/>
        <v/>
      </c>
      <c r="G73" s="31"/>
      <c r="H73" s="31"/>
      <c r="I73" s="31"/>
      <c r="J73" s="31"/>
      <c r="K73" s="110"/>
    </row>
    <row r="74" spans="2:11" s="186" customFormat="1" ht="14.1" customHeight="1" thickBot="1" x14ac:dyDescent="0.3">
      <c r="B74" s="219"/>
      <c r="C74" s="8">
        <v>13</v>
      </c>
      <c r="D74" s="222" t="str">
        <f t="shared" si="1"/>
        <v>PMA</v>
      </c>
      <c r="E74" s="222" t="str">
        <f t="shared" si="2"/>
        <v/>
      </c>
      <c r="F74" s="222" t="str">
        <f t="shared" si="2"/>
        <v/>
      </c>
      <c r="G74" s="31"/>
      <c r="H74" s="31"/>
      <c r="I74" s="31"/>
      <c r="J74" s="31"/>
      <c r="K74" s="110"/>
    </row>
    <row r="75" spans="2:11" s="186" customFormat="1" ht="14.1" customHeight="1" thickBot="1" x14ac:dyDescent="0.3">
      <c r="B75" s="219"/>
      <c r="C75" s="8">
        <v>14</v>
      </c>
      <c r="D75" s="222" t="str">
        <f t="shared" si="1"/>
        <v>PMM</v>
      </c>
      <c r="E75" s="222" t="str">
        <f t="shared" si="2"/>
        <v/>
      </c>
      <c r="F75" s="222" t="str">
        <f t="shared" si="2"/>
        <v/>
      </c>
      <c r="G75" s="31"/>
      <c r="H75" s="31"/>
      <c r="I75" s="31"/>
      <c r="J75" s="31"/>
      <c r="K75" s="110"/>
    </row>
    <row r="76" spans="2:11" ht="14.1" customHeight="1" x14ac:dyDescent="0.25">
      <c r="B76" s="269"/>
      <c r="C76" s="101"/>
      <c r="D76" s="1036" t="s">
        <v>14</v>
      </c>
      <c r="E76" s="1037"/>
      <c r="F76" s="1037"/>
      <c r="G76" s="1037"/>
      <c r="H76" s="1037"/>
      <c r="I76" s="1037"/>
      <c r="J76" s="1037"/>
      <c r="K76" s="1038"/>
    </row>
    <row r="77" spans="2:11" ht="14.1" customHeight="1" x14ac:dyDescent="0.25">
      <c r="B77" s="269"/>
      <c r="C77" s="101"/>
      <c r="D77" s="1027" t="s">
        <v>27</v>
      </c>
      <c r="E77" s="1028"/>
      <c r="F77" s="1028"/>
      <c r="G77" s="1028"/>
      <c r="H77" s="1028"/>
      <c r="I77" s="1028"/>
      <c r="J77" s="1028"/>
      <c r="K77" s="1029"/>
    </row>
    <row r="78" spans="2:11" ht="14.1" customHeight="1" thickBot="1" x14ac:dyDescent="0.3">
      <c r="B78" s="269"/>
      <c r="C78" s="101"/>
      <c r="D78" s="1030" t="s">
        <v>28</v>
      </c>
      <c r="E78" s="1031"/>
      <c r="F78" s="1031"/>
      <c r="G78" s="1031"/>
      <c r="H78" s="1031"/>
      <c r="I78" s="1031"/>
      <c r="J78" s="1031"/>
      <c r="K78" s="1032"/>
    </row>
    <row r="79" spans="2:11" ht="14.1" customHeight="1" thickBot="1" x14ac:dyDescent="0.3">
      <c r="B79" s="269"/>
      <c r="C79" s="261" t="s">
        <v>19</v>
      </c>
      <c r="D79" s="69" t="s">
        <v>8</v>
      </c>
      <c r="E79" s="69" t="s">
        <v>26</v>
      </c>
      <c r="F79" s="66" t="s">
        <v>10</v>
      </c>
      <c r="G79" s="66" t="s">
        <v>20</v>
      </c>
      <c r="H79" s="66" t="s">
        <v>21</v>
      </c>
      <c r="I79" s="66" t="s">
        <v>22</v>
      </c>
      <c r="J79" s="66" t="s">
        <v>23</v>
      </c>
      <c r="K79" s="112"/>
    </row>
    <row r="80" spans="2:11" ht="14.1" customHeight="1" thickBot="1" x14ac:dyDescent="0.3">
      <c r="B80" s="269"/>
      <c r="C80" s="2">
        <v>1</v>
      </c>
      <c r="D80" s="262" t="str">
        <f t="shared" ref="D80:F93" si="3">IF(ISBLANK(D62),"",D62)</f>
        <v>POMCA</v>
      </c>
      <c r="E80" s="262" t="str">
        <f t="shared" si="3"/>
        <v>SZH-2804</v>
      </c>
      <c r="F80" s="262" t="str">
        <f t="shared" si="3"/>
        <v>Río Ariguani</v>
      </c>
      <c r="G80" s="263" t="str">
        <f t="shared" ref="G80:J82" si="4">IFERROR(G62/G45,"N.A.")</f>
        <v>N.A.</v>
      </c>
      <c r="H80" s="263">
        <f t="shared" si="4"/>
        <v>1</v>
      </c>
      <c r="I80" s="263">
        <f t="shared" si="4"/>
        <v>0.25</v>
      </c>
      <c r="J80" s="263">
        <f t="shared" si="4"/>
        <v>0</v>
      </c>
      <c r="K80" s="113"/>
    </row>
    <row r="81" spans="2:11" ht="14.1" customHeight="1" thickBot="1" x14ac:dyDescent="0.3">
      <c r="B81" s="269"/>
      <c r="C81" s="2">
        <v>2</v>
      </c>
      <c r="D81" s="262" t="str">
        <f t="shared" si="3"/>
        <v>PMA</v>
      </c>
      <c r="E81" s="262" t="str">
        <f t="shared" si="3"/>
        <v>SAC1.11</v>
      </c>
      <c r="F81" s="262" t="str">
        <f t="shared" si="3"/>
        <v>Santa Marta</v>
      </c>
      <c r="G81" s="263" t="str">
        <f t="shared" si="4"/>
        <v>N.A.</v>
      </c>
      <c r="H81" s="263">
        <f t="shared" si="4"/>
        <v>0</v>
      </c>
      <c r="I81" s="263">
        <f t="shared" si="4"/>
        <v>0</v>
      </c>
      <c r="J81" s="263">
        <f t="shared" si="4"/>
        <v>0</v>
      </c>
      <c r="K81" s="113"/>
    </row>
    <row r="82" spans="2:11" ht="14.1" customHeight="1" thickBot="1" x14ac:dyDescent="0.3">
      <c r="B82" s="269"/>
      <c r="C82" s="2">
        <v>3</v>
      </c>
      <c r="D82" s="262" t="str">
        <f t="shared" si="3"/>
        <v>POMCA</v>
      </c>
      <c r="E82" s="262" t="str">
        <f t="shared" si="3"/>
        <v/>
      </c>
      <c r="F82" s="262" t="str">
        <f t="shared" si="3"/>
        <v/>
      </c>
      <c r="G82" s="263" t="str">
        <f t="shared" si="4"/>
        <v>N.A.</v>
      </c>
      <c r="H82" s="263" t="str">
        <f t="shared" si="4"/>
        <v>N.A.</v>
      </c>
      <c r="I82" s="263" t="str">
        <f t="shared" si="4"/>
        <v>N.A.</v>
      </c>
      <c r="J82" s="263" t="str">
        <f t="shared" si="4"/>
        <v>N.A.</v>
      </c>
      <c r="K82" s="113"/>
    </row>
    <row r="83" spans="2:11" ht="14.1" customHeight="1" thickBot="1" x14ac:dyDescent="0.3">
      <c r="B83" s="269"/>
      <c r="C83" s="2">
        <v>4</v>
      </c>
      <c r="D83" s="262" t="str">
        <f t="shared" si="3"/>
        <v>PMA</v>
      </c>
      <c r="E83" s="262" t="str">
        <f t="shared" si="3"/>
        <v/>
      </c>
      <c r="F83" s="262" t="str">
        <f t="shared" si="3"/>
        <v/>
      </c>
      <c r="G83" s="263" t="str">
        <f t="shared" ref="G83:J93" si="5">IFERROR(G65/G48,"N.A.")</f>
        <v>N.A.</v>
      </c>
      <c r="H83" s="263" t="str">
        <f t="shared" si="5"/>
        <v>N.A.</v>
      </c>
      <c r="I83" s="263" t="str">
        <f t="shared" si="5"/>
        <v>N.A.</v>
      </c>
      <c r="J83" s="263" t="str">
        <f t="shared" si="5"/>
        <v>N.A.</v>
      </c>
      <c r="K83" s="113"/>
    </row>
    <row r="84" spans="2:11" ht="14.1" customHeight="1" thickBot="1" x14ac:dyDescent="0.3">
      <c r="B84" s="269"/>
      <c r="C84" s="2">
        <v>5</v>
      </c>
      <c r="D84" s="262" t="str">
        <f t="shared" si="3"/>
        <v>PMA</v>
      </c>
      <c r="E84" s="262" t="str">
        <f t="shared" si="3"/>
        <v/>
      </c>
      <c r="F84" s="262" t="str">
        <f t="shared" si="3"/>
        <v/>
      </c>
      <c r="G84" s="263" t="str">
        <f t="shared" si="5"/>
        <v>N.A.</v>
      </c>
      <c r="H84" s="263" t="str">
        <f t="shared" si="5"/>
        <v>N.A.</v>
      </c>
      <c r="I84" s="263" t="str">
        <f t="shared" si="5"/>
        <v>N.A.</v>
      </c>
      <c r="J84" s="263" t="str">
        <f t="shared" si="5"/>
        <v>N.A.</v>
      </c>
      <c r="K84" s="113"/>
    </row>
    <row r="85" spans="2:11" ht="14.1" customHeight="1" thickBot="1" x14ac:dyDescent="0.3">
      <c r="B85" s="269"/>
      <c r="C85" s="2">
        <v>6</v>
      </c>
      <c r="D85" s="262" t="str">
        <f t="shared" si="3"/>
        <v>POMCA</v>
      </c>
      <c r="E85" s="262" t="str">
        <f t="shared" si="3"/>
        <v/>
      </c>
      <c r="F85" s="262" t="str">
        <f t="shared" si="3"/>
        <v/>
      </c>
      <c r="G85" s="263" t="str">
        <f t="shared" si="5"/>
        <v>N.A.</v>
      </c>
      <c r="H85" s="263" t="str">
        <f t="shared" si="5"/>
        <v>N.A.</v>
      </c>
      <c r="I85" s="263" t="str">
        <f t="shared" si="5"/>
        <v>N.A.</v>
      </c>
      <c r="J85" s="263" t="str">
        <f t="shared" si="5"/>
        <v>N.A.</v>
      </c>
      <c r="K85" s="114"/>
    </row>
    <row r="86" spans="2:11" ht="14.1" customHeight="1" thickBot="1" x14ac:dyDescent="0.3">
      <c r="B86" s="269"/>
      <c r="C86" s="2">
        <v>7</v>
      </c>
      <c r="D86" s="262" t="str">
        <f t="shared" si="3"/>
        <v>POMCA</v>
      </c>
      <c r="E86" s="262" t="str">
        <f t="shared" si="3"/>
        <v/>
      </c>
      <c r="F86" s="262" t="str">
        <f t="shared" si="3"/>
        <v/>
      </c>
      <c r="G86" s="263" t="str">
        <f t="shared" si="5"/>
        <v>N.A.</v>
      </c>
      <c r="H86" s="263" t="str">
        <f t="shared" si="5"/>
        <v>N.A.</v>
      </c>
      <c r="I86" s="263" t="str">
        <f t="shared" si="5"/>
        <v>N.A.</v>
      </c>
      <c r="J86" s="263" t="str">
        <f t="shared" si="5"/>
        <v>N.A.</v>
      </c>
      <c r="K86" s="113"/>
    </row>
    <row r="87" spans="2:11" ht="14.1" customHeight="1" thickBot="1" x14ac:dyDescent="0.3">
      <c r="B87" s="269"/>
      <c r="C87" s="2">
        <v>8</v>
      </c>
      <c r="D87" s="262" t="str">
        <f t="shared" si="3"/>
        <v>PMA</v>
      </c>
      <c r="E87" s="262" t="str">
        <f t="shared" si="3"/>
        <v/>
      </c>
      <c r="F87" s="262" t="str">
        <f t="shared" si="3"/>
        <v/>
      </c>
      <c r="G87" s="263" t="str">
        <f t="shared" si="5"/>
        <v>N.A.</v>
      </c>
      <c r="H87" s="263" t="str">
        <f t="shared" si="5"/>
        <v>N.A.</v>
      </c>
      <c r="I87" s="263" t="str">
        <f t="shared" si="5"/>
        <v>N.A.</v>
      </c>
      <c r="J87" s="263" t="str">
        <f t="shared" si="5"/>
        <v>N.A.</v>
      </c>
      <c r="K87" s="113"/>
    </row>
    <row r="88" spans="2:11" ht="14.1" customHeight="1" thickBot="1" x14ac:dyDescent="0.3">
      <c r="B88" s="269"/>
      <c r="C88" s="2">
        <v>9</v>
      </c>
      <c r="D88" s="262" t="str">
        <f t="shared" si="3"/>
        <v>PMA</v>
      </c>
      <c r="E88" s="262" t="str">
        <f t="shared" si="3"/>
        <v/>
      </c>
      <c r="F88" s="262" t="str">
        <f t="shared" si="3"/>
        <v/>
      </c>
      <c r="G88" s="263" t="str">
        <f t="shared" si="5"/>
        <v>N.A.</v>
      </c>
      <c r="H88" s="263" t="str">
        <f t="shared" si="5"/>
        <v>N.A.</v>
      </c>
      <c r="I88" s="263" t="str">
        <f t="shared" si="5"/>
        <v>N.A.</v>
      </c>
      <c r="J88" s="263" t="str">
        <f t="shared" si="5"/>
        <v>N.A.</v>
      </c>
      <c r="K88" s="113"/>
    </row>
    <row r="89" spans="2:11" ht="14.1" customHeight="1" thickBot="1" x14ac:dyDescent="0.3">
      <c r="B89" s="269"/>
      <c r="C89" s="2">
        <v>10</v>
      </c>
      <c r="D89" s="262" t="str">
        <f t="shared" si="3"/>
        <v>POMCA</v>
      </c>
      <c r="E89" s="262" t="str">
        <f t="shared" si="3"/>
        <v/>
      </c>
      <c r="F89" s="262" t="str">
        <f t="shared" si="3"/>
        <v/>
      </c>
      <c r="G89" s="263" t="str">
        <f t="shared" si="5"/>
        <v>N.A.</v>
      </c>
      <c r="H89" s="263" t="str">
        <f t="shared" si="5"/>
        <v>N.A.</v>
      </c>
      <c r="I89" s="263" t="str">
        <f t="shared" si="5"/>
        <v>N.A.</v>
      </c>
      <c r="J89" s="263" t="str">
        <f t="shared" si="5"/>
        <v>N.A.</v>
      </c>
      <c r="K89" s="114"/>
    </row>
    <row r="90" spans="2:11" ht="14.1" customHeight="1" thickBot="1" x14ac:dyDescent="0.3">
      <c r="B90" s="269"/>
      <c r="C90" s="2">
        <v>11</v>
      </c>
      <c r="D90" s="262" t="str">
        <f t="shared" si="3"/>
        <v>POMCA</v>
      </c>
      <c r="E90" s="262" t="str">
        <f t="shared" si="3"/>
        <v/>
      </c>
      <c r="F90" s="262" t="str">
        <f t="shared" si="3"/>
        <v/>
      </c>
      <c r="G90" s="263" t="str">
        <f t="shared" si="5"/>
        <v>N.A.</v>
      </c>
      <c r="H90" s="263" t="str">
        <f t="shared" si="5"/>
        <v>N.A.</v>
      </c>
      <c r="I90" s="263" t="str">
        <f t="shared" si="5"/>
        <v>N.A.</v>
      </c>
      <c r="J90" s="263" t="str">
        <f t="shared" si="5"/>
        <v>N.A.</v>
      </c>
      <c r="K90" s="113"/>
    </row>
    <row r="91" spans="2:11" ht="14.1" customHeight="1" thickBot="1" x14ac:dyDescent="0.3">
      <c r="B91" s="269"/>
      <c r="C91" s="2">
        <v>12</v>
      </c>
      <c r="D91" s="262" t="str">
        <f t="shared" si="3"/>
        <v>PMA</v>
      </c>
      <c r="E91" s="262" t="str">
        <f t="shared" si="3"/>
        <v/>
      </c>
      <c r="F91" s="262" t="str">
        <f t="shared" si="3"/>
        <v/>
      </c>
      <c r="G91" s="263" t="str">
        <f t="shared" si="5"/>
        <v>N.A.</v>
      </c>
      <c r="H91" s="263" t="str">
        <f t="shared" si="5"/>
        <v>N.A.</v>
      </c>
      <c r="I91" s="263" t="str">
        <f t="shared" si="5"/>
        <v>N.A.</v>
      </c>
      <c r="J91" s="263" t="str">
        <f t="shared" si="5"/>
        <v>N.A.</v>
      </c>
      <c r="K91" s="113"/>
    </row>
    <row r="92" spans="2:11" ht="14.1" customHeight="1" thickBot="1" x14ac:dyDescent="0.3">
      <c r="B92" s="269"/>
      <c r="C92" s="2">
        <v>13</v>
      </c>
      <c r="D92" s="262" t="str">
        <f t="shared" si="3"/>
        <v>PMA</v>
      </c>
      <c r="E92" s="262" t="str">
        <f t="shared" si="3"/>
        <v/>
      </c>
      <c r="F92" s="262" t="str">
        <f t="shared" si="3"/>
        <v/>
      </c>
      <c r="G92" s="263" t="str">
        <f t="shared" si="5"/>
        <v>N.A.</v>
      </c>
      <c r="H92" s="263" t="str">
        <f t="shared" si="5"/>
        <v>N.A.</v>
      </c>
      <c r="I92" s="263" t="str">
        <f t="shared" si="5"/>
        <v>N.A.</v>
      </c>
      <c r="J92" s="263" t="str">
        <f t="shared" si="5"/>
        <v>N.A.</v>
      </c>
      <c r="K92" s="113"/>
    </row>
    <row r="93" spans="2:11" ht="14.1" customHeight="1" thickBot="1" x14ac:dyDescent="0.3">
      <c r="B93" s="269"/>
      <c r="C93" s="2">
        <v>14</v>
      </c>
      <c r="D93" s="262" t="str">
        <f t="shared" si="3"/>
        <v>PMM</v>
      </c>
      <c r="E93" s="262" t="str">
        <f t="shared" si="3"/>
        <v/>
      </c>
      <c r="F93" s="262" t="str">
        <f t="shared" si="3"/>
        <v/>
      </c>
      <c r="G93" s="263" t="str">
        <f t="shared" si="5"/>
        <v>N.A.</v>
      </c>
      <c r="H93" s="263" t="str">
        <f t="shared" si="5"/>
        <v>N.A.</v>
      </c>
      <c r="I93" s="263" t="str">
        <f t="shared" si="5"/>
        <v>N.A.</v>
      </c>
      <c r="J93" s="263" t="str">
        <f t="shared" si="5"/>
        <v>N.A.</v>
      </c>
      <c r="K93" s="114"/>
    </row>
    <row r="94" spans="2:11" ht="14.1" customHeight="1" x14ac:dyDescent="0.25">
      <c r="B94" s="269"/>
      <c r="C94" s="101"/>
      <c r="D94" s="1033"/>
      <c r="E94" s="1034"/>
      <c r="F94" s="1034"/>
      <c r="G94" s="1034"/>
      <c r="H94" s="1034"/>
      <c r="I94" s="1034"/>
      <c r="J94" s="1034"/>
      <c r="K94" s="1035"/>
    </row>
    <row r="95" spans="2:11" ht="14.1" customHeight="1" thickBot="1" x14ac:dyDescent="0.3">
      <c r="B95" s="269"/>
      <c r="C95" s="101"/>
      <c r="D95" s="1030" t="s">
        <v>29</v>
      </c>
      <c r="E95" s="1031"/>
      <c r="F95" s="1031"/>
      <c r="G95" s="1031"/>
      <c r="H95" s="1031"/>
      <c r="I95" s="1031"/>
      <c r="J95" s="1031"/>
      <c r="K95" s="1032"/>
    </row>
    <row r="96" spans="2:11" ht="14.1" customHeight="1" thickBot="1" x14ac:dyDescent="0.3">
      <c r="B96" s="269"/>
      <c r="C96" s="264" t="s">
        <v>19</v>
      </c>
      <c r="D96" s="66" t="s">
        <v>30</v>
      </c>
      <c r="E96" s="66" t="s">
        <v>31</v>
      </c>
      <c r="F96" s="66"/>
      <c r="G96" s="66" t="s">
        <v>20</v>
      </c>
      <c r="H96" s="66" t="s">
        <v>21</v>
      </c>
      <c r="I96" s="66" t="s">
        <v>22</v>
      </c>
      <c r="J96" s="66" t="s">
        <v>23</v>
      </c>
      <c r="K96" s="112"/>
    </row>
    <row r="97" spans="2:11" ht="14.1" customHeight="1" thickBot="1" x14ac:dyDescent="0.3">
      <c r="B97" s="269"/>
      <c r="C97" s="98">
        <v>1</v>
      </c>
      <c r="D97" s="230" t="s">
        <v>32</v>
      </c>
      <c r="E97" s="31">
        <v>0.8</v>
      </c>
      <c r="F97" s="32"/>
      <c r="G97" s="153">
        <f ca="1">IFERROR(AVERAGEIF($D$80:$J$93,"POMCA",G$80:G$93),0)</f>
        <v>0</v>
      </c>
      <c r="H97" s="153">
        <f ca="1">IFERROR(AVERAGEIF($D$80:$J$93,"POMCA",H$80:H$93),0)</f>
        <v>1</v>
      </c>
      <c r="I97" s="153">
        <f ca="1">IFERROR(AVERAGEIF($D$80:$J$93,"POMCA",I$80:I$93),0)</f>
        <v>0.25</v>
      </c>
      <c r="J97" s="153">
        <f ca="1">IFERROR(AVERAGEIF($D$80:$J$93,"POMCA",J$80:J$93),0)</f>
        <v>0</v>
      </c>
      <c r="K97" s="110"/>
    </row>
    <row r="98" spans="2:11" ht="14.1" customHeight="1" thickBot="1" x14ac:dyDescent="0.3">
      <c r="B98" s="269"/>
      <c r="C98" s="98">
        <v>2</v>
      </c>
      <c r="D98" s="230" t="s">
        <v>12</v>
      </c>
      <c r="E98" s="31">
        <v>0.2</v>
      </c>
      <c r="F98" s="32"/>
      <c r="G98" s="153">
        <f ca="1">IFERROR(AVERAGEIF($D$80:$J$93,"PMA",G$80:G$93),0)</f>
        <v>0</v>
      </c>
      <c r="H98" s="153">
        <f ca="1">IFERROR(AVERAGEIF($D$80:$J$93,"PMA",H$80:H$93),0)</f>
        <v>0</v>
      </c>
      <c r="I98" s="153">
        <f ca="1">IFERROR(AVERAGEIF($D$80:$J$93,"PMA",I$80:I$93),0)</f>
        <v>0</v>
      </c>
      <c r="J98" s="153">
        <f ca="1">IFERROR(AVERAGEIF($D$80:$J$93,"PMA",J$80:J$93),0)</f>
        <v>0</v>
      </c>
      <c r="K98" s="110"/>
    </row>
    <row r="99" spans="2:11" ht="14.1" customHeight="1" thickBot="1" x14ac:dyDescent="0.3">
      <c r="B99" s="269"/>
      <c r="C99" s="98">
        <v>3</v>
      </c>
      <c r="D99" s="230" t="s">
        <v>13</v>
      </c>
      <c r="E99" s="31"/>
      <c r="F99" s="32"/>
      <c r="G99" s="153">
        <f ca="1">IFERROR(AVERAGEIF($D$80:$J$93,"PMM",G$80:G$93),0)</f>
        <v>0</v>
      </c>
      <c r="H99" s="153">
        <f ca="1">IFERROR(AVERAGEIF($D$80:$J$93,"PMM",H$80:H$93),0)</f>
        <v>0</v>
      </c>
      <c r="I99" s="153">
        <f ca="1">IFERROR(AVERAGEIF($D$80:$J$93,"PMM",I$80:I$93),0)</f>
        <v>0</v>
      </c>
      <c r="J99" s="153">
        <f ca="1">IFERROR(AVERAGEIF($D$80:$J$93,"PMM",J$80:J$93),0)</f>
        <v>0</v>
      </c>
      <c r="K99" s="110"/>
    </row>
    <row r="100" spans="2:11" ht="14.1" customHeight="1" thickBot="1" x14ac:dyDescent="0.3">
      <c r="B100" s="269"/>
      <c r="D100" s="1058">
        <f>Formulas!$D$5</f>
        <v>1</v>
      </c>
      <c r="E100" s="1059"/>
      <c r="F100" s="393" t="s">
        <v>1256</v>
      </c>
      <c r="G100" s="193" t="str">
        <f ca="1">Formulas!E5</f>
        <v>N.A.</v>
      </c>
      <c r="H100" s="193">
        <f ca="1">Formulas!F5</f>
        <v>0.8</v>
      </c>
      <c r="I100" s="193">
        <f ca="1">Formulas!G5</f>
        <v>0.2</v>
      </c>
      <c r="J100" s="193" t="str">
        <f ca="1">Formulas!H5</f>
        <v>N.A.</v>
      </c>
      <c r="K100" s="111"/>
    </row>
    <row r="101" spans="2:11" ht="14.1" customHeight="1" x14ac:dyDescent="0.25">
      <c r="B101" s="269"/>
      <c r="C101" s="101"/>
      <c r="D101" s="1060"/>
      <c r="E101" s="1061"/>
      <c r="F101" s="1061"/>
      <c r="G101" s="1061"/>
      <c r="H101" s="1061"/>
      <c r="I101" s="1061"/>
      <c r="J101" s="1061"/>
      <c r="K101" s="1062"/>
    </row>
    <row r="102" spans="2:11" ht="14.1" customHeight="1" x14ac:dyDescent="0.25">
      <c r="B102" s="269"/>
      <c r="C102" s="101"/>
      <c r="D102" s="1027" t="s">
        <v>33</v>
      </c>
      <c r="E102" s="1028"/>
      <c r="F102" s="1028"/>
      <c r="G102" s="1028"/>
      <c r="H102" s="1028"/>
      <c r="I102" s="1028"/>
      <c r="J102" s="1028"/>
      <c r="K102" s="1029"/>
    </row>
    <row r="103" spans="2:11" ht="14.1" customHeight="1" thickBot="1" x14ac:dyDescent="0.3">
      <c r="B103" s="71"/>
      <c r="C103" s="105"/>
      <c r="D103" s="244"/>
      <c r="E103" s="123"/>
      <c r="F103" s="123"/>
      <c r="G103" s="123"/>
      <c r="H103" s="123"/>
      <c r="I103" s="123"/>
      <c r="J103" s="123"/>
      <c r="K103" s="40"/>
    </row>
    <row r="104" spans="2:11" ht="14.1" customHeight="1" thickBot="1" x14ac:dyDescent="0.3">
      <c r="B104" s="71" t="s">
        <v>34</v>
      </c>
      <c r="C104" s="105"/>
      <c r="D104" s="1048" t="s">
        <v>35</v>
      </c>
      <c r="E104" s="1049"/>
      <c r="F104" s="1049"/>
      <c r="G104" s="1049"/>
      <c r="H104" s="1049"/>
      <c r="I104" s="1049"/>
      <c r="J104" s="1049"/>
      <c r="K104" s="1050"/>
    </row>
    <row r="105" spans="2:11" ht="39.200000000000003" customHeight="1" thickBot="1" x14ac:dyDescent="0.3">
      <c r="B105" s="71" t="s">
        <v>36</v>
      </c>
      <c r="C105" s="105"/>
      <c r="D105" s="1048" t="s">
        <v>37</v>
      </c>
      <c r="E105" s="1049"/>
      <c r="F105" s="1049"/>
      <c r="G105" s="1049"/>
      <c r="H105" s="1049"/>
      <c r="I105" s="1049"/>
      <c r="J105" s="1049"/>
      <c r="K105" s="1050"/>
    </row>
    <row r="106" spans="2:11" ht="15.75" thickBot="1" x14ac:dyDescent="0.3">
      <c r="B106" s="1"/>
      <c r="C106" s="74"/>
      <c r="D106" s="5"/>
      <c r="E106" s="5"/>
      <c r="F106" s="5"/>
      <c r="G106" s="5"/>
      <c r="H106" s="5"/>
      <c r="I106" s="5"/>
      <c r="J106" s="5"/>
      <c r="K106" s="5"/>
    </row>
    <row r="107" spans="2:11" ht="24" customHeight="1" thickBot="1" x14ac:dyDescent="0.3">
      <c r="B107" s="1054" t="s">
        <v>38</v>
      </c>
      <c r="C107" s="1055"/>
      <c r="D107" s="1055"/>
      <c r="E107" s="1056"/>
      <c r="F107" s="5"/>
      <c r="G107" s="5"/>
      <c r="H107" s="5"/>
      <c r="I107" s="5"/>
      <c r="J107" s="5"/>
      <c r="K107" s="5"/>
    </row>
    <row r="108" spans="2:11" ht="15.75" thickBot="1" x14ac:dyDescent="0.3">
      <c r="B108" s="1045">
        <v>1</v>
      </c>
      <c r="C108" s="92"/>
      <c r="D108" s="47" t="s">
        <v>39</v>
      </c>
      <c r="E108" s="30" t="s">
        <v>1771</v>
      </c>
      <c r="F108" s="5"/>
      <c r="G108" s="5"/>
      <c r="H108" s="5"/>
      <c r="I108" s="5"/>
      <c r="J108" s="5"/>
      <c r="K108" s="5"/>
    </row>
    <row r="109" spans="2:11" ht="15.75" thickBot="1" x14ac:dyDescent="0.3">
      <c r="B109" s="1046"/>
      <c r="C109" s="92"/>
      <c r="D109" s="40" t="s">
        <v>40</v>
      </c>
      <c r="E109" s="30" t="s">
        <v>1772</v>
      </c>
      <c r="F109" s="5"/>
      <c r="G109" s="5"/>
      <c r="H109" s="5"/>
      <c r="I109" s="5"/>
      <c r="J109" s="5"/>
      <c r="K109" s="5"/>
    </row>
    <row r="110" spans="2:11" ht="15.75" thickBot="1" x14ac:dyDescent="0.3">
      <c r="B110" s="1046"/>
      <c r="C110" s="92"/>
      <c r="D110" s="40" t="s">
        <v>41</v>
      </c>
      <c r="E110" s="30" t="s">
        <v>1774</v>
      </c>
      <c r="F110" s="5"/>
      <c r="G110" s="5"/>
      <c r="H110" s="5"/>
      <c r="I110" s="5"/>
      <c r="J110" s="5"/>
      <c r="K110" s="5"/>
    </row>
    <row r="111" spans="2:11" ht="15.75" thickBot="1" x14ac:dyDescent="0.3">
      <c r="B111" s="1046"/>
      <c r="C111" s="92"/>
      <c r="D111" s="40" t="s">
        <v>42</v>
      </c>
      <c r="E111" s="30" t="s">
        <v>1494</v>
      </c>
      <c r="F111" s="5"/>
      <c r="G111" s="5"/>
      <c r="H111" s="5"/>
      <c r="I111" s="5"/>
      <c r="J111" s="5"/>
      <c r="K111" s="5"/>
    </row>
    <row r="112" spans="2:11" ht="15.75" thickBot="1" x14ac:dyDescent="0.3">
      <c r="B112" s="1046"/>
      <c r="C112" s="92"/>
      <c r="D112" s="40" t="s">
        <v>43</v>
      </c>
      <c r="E112" s="515" t="s">
        <v>1775</v>
      </c>
      <c r="F112" s="5"/>
      <c r="G112" s="5"/>
      <c r="H112" s="5"/>
      <c r="I112" s="5"/>
      <c r="J112" s="5"/>
      <c r="K112" s="5"/>
    </row>
    <row r="113" spans="2:11" ht="15.75" thickBot="1" x14ac:dyDescent="0.3">
      <c r="B113" s="1046"/>
      <c r="C113" s="92"/>
      <c r="D113" s="40" t="s">
        <v>44</v>
      </c>
      <c r="E113" s="30">
        <v>4380200</v>
      </c>
      <c r="F113" s="5"/>
      <c r="G113" s="5"/>
      <c r="H113" s="5"/>
      <c r="I113" s="5"/>
      <c r="J113" s="5"/>
      <c r="K113" s="5"/>
    </row>
    <row r="114" spans="2:11" ht="15.75" thickBot="1" x14ac:dyDescent="0.3">
      <c r="B114" s="1047"/>
      <c r="C114" s="2"/>
      <c r="D114" s="40" t="s">
        <v>45</v>
      </c>
      <c r="E114" s="30" t="s">
        <v>1773</v>
      </c>
      <c r="F114" s="5"/>
      <c r="G114" s="5"/>
      <c r="H114" s="5"/>
      <c r="I114" s="5"/>
      <c r="J114" s="5"/>
      <c r="K114" s="5"/>
    </row>
    <row r="115" spans="2:11" ht="15.75" thickBot="1" x14ac:dyDescent="0.3">
      <c r="B115" s="1"/>
      <c r="C115" s="74"/>
      <c r="D115" s="5"/>
      <c r="E115" s="5"/>
      <c r="F115" s="5"/>
      <c r="G115" s="5"/>
      <c r="H115" s="5"/>
      <c r="I115" s="5"/>
      <c r="J115" s="5"/>
      <c r="K115" s="5"/>
    </row>
    <row r="116" spans="2:11" ht="15" customHeight="1" thickBot="1" x14ac:dyDescent="0.3">
      <c r="B116" s="1054" t="s">
        <v>46</v>
      </c>
      <c r="C116" s="1055"/>
      <c r="D116" s="1055"/>
      <c r="E116" s="1056"/>
      <c r="F116" s="5"/>
      <c r="G116" s="5"/>
      <c r="H116" s="5"/>
      <c r="I116" s="5"/>
      <c r="J116" s="5"/>
      <c r="K116" s="5"/>
    </row>
    <row r="117" spans="2:11" ht="15.75" thickBot="1" x14ac:dyDescent="0.3">
      <c r="B117" s="1045">
        <v>1</v>
      </c>
      <c r="C117" s="92"/>
      <c r="D117" s="47" t="s">
        <v>39</v>
      </c>
      <c r="E117" s="34" t="s">
        <v>47</v>
      </c>
      <c r="F117" s="5"/>
      <c r="G117" s="5"/>
      <c r="H117" s="5"/>
      <c r="I117" s="5"/>
      <c r="J117" s="5"/>
      <c r="K117" s="5"/>
    </row>
    <row r="118" spans="2:11" ht="15.75" thickBot="1" x14ac:dyDescent="0.3">
      <c r="B118" s="1046"/>
      <c r="C118" s="92"/>
      <c r="D118" s="40" t="s">
        <v>40</v>
      </c>
      <c r="E118" s="34" t="s">
        <v>48</v>
      </c>
      <c r="F118" s="5"/>
      <c r="G118" s="5"/>
      <c r="H118" s="5"/>
      <c r="I118" s="5"/>
      <c r="J118" s="5"/>
      <c r="K118" s="5"/>
    </row>
    <row r="119" spans="2:11" ht="15.75" thickBot="1" x14ac:dyDescent="0.3">
      <c r="B119" s="1046"/>
      <c r="C119" s="92"/>
      <c r="D119" s="40" t="s">
        <v>41</v>
      </c>
      <c r="E119" s="163"/>
      <c r="F119" s="5"/>
      <c r="G119" s="5"/>
      <c r="H119" s="5"/>
      <c r="I119" s="5"/>
      <c r="J119" s="5"/>
      <c r="K119" s="5"/>
    </row>
    <row r="120" spans="2:11" ht="15.75" thickBot="1" x14ac:dyDescent="0.3">
      <c r="B120" s="1046"/>
      <c r="C120" s="92"/>
      <c r="D120" s="40" t="s">
        <v>42</v>
      </c>
      <c r="E120" s="163"/>
      <c r="F120" s="5"/>
      <c r="G120" s="5"/>
      <c r="H120" s="5"/>
      <c r="I120" s="5"/>
      <c r="J120" s="5"/>
      <c r="K120" s="5"/>
    </row>
    <row r="121" spans="2:11" ht="15.75" thickBot="1" x14ac:dyDescent="0.3">
      <c r="B121" s="1046"/>
      <c r="C121" s="92"/>
      <c r="D121" s="40" t="s">
        <v>43</v>
      </c>
      <c r="E121" s="163"/>
      <c r="F121" s="5"/>
      <c r="G121" s="5"/>
      <c r="H121" s="5"/>
      <c r="I121" s="5"/>
      <c r="J121" s="5"/>
      <c r="K121" s="5"/>
    </row>
    <row r="122" spans="2:11" ht="15.75" thickBot="1" x14ac:dyDescent="0.3">
      <c r="B122" s="1046"/>
      <c r="C122" s="92"/>
      <c r="D122" s="40" t="s">
        <v>44</v>
      </c>
      <c r="E122" s="163"/>
      <c r="F122" s="5"/>
      <c r="G122" s="5"/>
      <c r="H122" s="5"/>
      <c r="I122" s="5"/>
      <c r="J122" s="5"/>
      <c r="K122" s="5"/>
    </row>
    <row r="123" spans="2:11" ht="15.75" thickBot="1" x14ac:dyDescent="0.3">
      <c r="B123" s="1047"/>
      <c r="C123" s="2"/>
      <c r="D123" s="40" t="s">
        <v>45</v>
      </c>
      <c r="E123" s="163"/>
      <c r="F123" s="5"/>
      <c r="G123" s="5"/>
      <c r="H123" s="5"/>
      <c r="I123" s="5"/>
      <c r="J123" s="5"/>
      <c r="K123" s="5"/>
    </row>
    <row r="124" spans="2:11" ht="15.75" thickBot="1" x14ac:dyDescent="0.3">
      <c r="B124" s="1"/>
      <c r="C124" s="74"/>
      <c r="D124" s="5"/>
      <c r="E124" s="5"/>
      <c r="F124" s="5"/>
      <c r="G124" s="5"/>
      <c r="H124" s="5"/>
      <c r="I124" s="5"/>
      <c r="J124" s="5"/>
      <c r="K124" s="5"/>
    </row>
    <row r="125" spans="2:11" ht="15" customHeight="1" thickBot="1" x14ac:dyDescent="0.3">
      <c r="B125" s="117" t="s">
        <v>49</v>
      </c>
      <c r="C125" s="118"/>
      <c r="D125" s="118"/>
      <c r="E125" s="265"/>
      <c r="G125" s="5"/>
      <c r="H125" s="5"/>
      <c r="I125" s="5"/>
      <c r="J125" s="5"/>
      <c r="K125" s="5"/>
    </row>
    <row r="126" spans="2:11" ht="24.75" thickBot="1" x14ac:dyDescent="0.3">
      <c r="B126" s="46" t="s">
        <v>50</v>
      </c>
      <c r="C126" s="40" t="s">
        <v>51</v>
      </c>
      <c r="D126" s="123" t="s">
        <v>52</v>
      </c>
      <c r="E126" s="251" t="s">
        <v>53</v>
      </c>
      <c r="F126" s="5"/>
      <c r="G126" s="5"/>
      <c r="H126" s="5"/>
      <c r="I126" s="5"/>
      <c r="J126" s="5"/>
    </row>
    <row r="127" spans="2:11" ht="96.75" thickBot="1" x14ac:dyDescent="0.3">
      <c r="B127" s="48">
        <v>42401</v>
      </c>
      <c r="C127" s="40">
        <v>1</v>
      </c>
      <c r="D127" s="67" t="s">
        <v>54</v>
      </c>
      <c r="E127" s="40"/>
      <c r="F127" s="5"/>
      <c r="G127" s="5"/>
      <c r="H127" s="5"/>
      <c r="I127" s="5"/>
      <c r="J127" s="5"/>
    </row>
    <row r="128" spans="2:11" ht="15.75" thickBot="1" x14ac:dyDescent="0.3">
      <c r="B128" s="3"/>
      <c r="C128" s="93"/>
      <c r="D128" s="5"/>
      <c r="E128" s="5"/>
      <c r="F128" s="5"/>
      <c r="G128" s="5"/>
      <c r="H128" s="5"/>
      <c r="I128" s="5"/>
      <c r="J128" s="5"/>
      <c r="K128" s="5"/>
    </row>
    <row r="129" spans="2:11" x14ac:dyDescent="0.25">
      <c r="B129" s="127" t="s">
        <v>55</v>
      </c>
      <c r="C129" s="94"/>
      <c r="D129" s="5"/>
      <c r="E129" s="5"/>
      <c r="F129" s="5"/>
      <c r="G129" s="5"/>
      <c r="H129" s="5"/>
      <c r="I129" s="5"/>
      <c r="J129" s="5"/>
      <c r="K129" s="5"/>
    </row>
    <row r="130" spans="2:11" x14ac:dyDescent="0.25">
      <c r="B130" s="1057"/>
      <c r="C130" s="1057"/>
      <c r="D130" s="1057"/>
      <c r="E130" s="1057"/>
      <c r="F130" s="1057"/>
      <c r="G130" s="5"/>
      <c r="H130" s="5"/>
      <c r="I130" s="5"/>
      <c r="J130" s="5"/>
      <c r="K130" s="5"/>
    </row>
    <row r="131" spans="2:11" ht="44.1" customHeight="1" x14ac:dyDescent="0.25">
      <c r="B131" s="1057"/>
      <c r="C131" s="1057"/>
      <c r="D131" s="1057"/>
      <c r="E131" s="1057"/>
      <c r="F131" s="1057"/>
      <c r="G131" s="5"/>
      <c r="H131" s="5"/>
      <c r="I131" s="5"/>
      <c r="J131" s="5"/>
      <c r="K131" s="5"/>
    </row>
    <row r="132" spans="2:11" x14ac:dyDescent="0.25">
      <c r="B132" s="1"/>
      <c r="C132" s="74"/>
      <c r="D132" s="5"/>
      <c r="E132" s="5"/>
      <c r="F132" s="5"/>
      <c r="G132" s="5"/>
      <c r="H132" s="5"/>
      <c r="I132" s="5"/>
      <c r="J132" s="5"/>
      <c r="K132" s="5"/>
    </row>
    <row r="133" spans="2:11" ht="15.75" thickBot="1" x14ac:dyDescent="0.3">
      <c r="B133" s="37"/>
      <c r="C133" s="86"/>
      <c r="D133" s="5"/>
      <c r="E133" s="5"/>
      <c r="F133" s="5"/>
      <c r="G133" s="5"/>
      <c r="H133" s="5"/>
      <c r="I133" s="5"/>
      <c r="J133" s="5"/>
      <c r="K133" s="5"/>
    </row>
    <row r="134" spans="2:11" ht="15.75" thickBot="1" x14ac:dyDescent="0.3">
      <c r="B134" s="266" t="s">
        <v>56</v>
      </c>
      <c r="C134" s="95"/>
      <c r="D134" s="5"/>
      <c r="E134" s="5"/>
      <c r="F134" s="5"/>
      <c r="G134" s="5"/>
      <c r="H134" s="5"/>
      <c r="I134" s="5"/>
      <c r="J134" s="5"/>
      <c r="K134" s="5"/>
    </row>
    <row r="135" spans="2:11" ht="15.75" thickBot="1" x14ac:dyDescent="0.3">
      <c r="B135" s="37"/>
      <c r="C135" s="86"/>
      <c r="D135" s="5"/>
      <c r="E135" s="5"/>
      <c r="F135" s="5"/>
      <c r="G135" s="5"/>
      <c r="H135" s="5"/>
      <c r="I135" s="5"/>
      <c r="J135" s="5"/>
      <c r="K135" s="5"/>
    </row>
    <row r="136" spans="2:11" ht="15.75" thickBot="1" x14ac:dyDescent="0.3">
      <c r="B136" s="51" t="s">
        <v>57</v>
      </c>
      <c r="C136" s="231"/>
      <c r="D136" s="1048" t="s">
        <v>58</v>
      </c>
      <c r="E136" s="1049"/>
      <c r="F136" s="1050"/>
      <c r="G136" s="5"/>
      <c r="H136" s="5"/>
      <c r="I136" s="5"/>
      <c r="J136" s="5"/>
      <c r="K136" s="5"/>
    </row>
    <row r="137" spans="2:11" x14ac:dyDescent="0.25">
      <c r="B137" s="1045" t="s">
        <v>59</v>
      </c>
      <c r="C137" s="87"/>
      <c r="D137" s="1033" t="s">
        <v>60</v>
      </c>
      <c r="E137" s="1034"/>
      <c r="F137" s="1035"/>
      <c r="G137" s="5"/>
      <c r="H137" s="5"/>
      <c r="I137" s="5"/>
      <c r="J137" s="5"/>
      <c r="K137" s="5"/>
    </row>
    <row r="138" spans="2:11" x14ac:dyDescent="0.25">
      <c r="B138" s="1046"/>
      <c r="C138" s="90"/>
      <c r="D138" s="1027" t="s">
        <v>61</v>
      </c>
      <c r="E138" s="1028"/>
      <c r="F138" s="1029"/>
      <c r="G138" s="5"/>
      <c r="H138" s="5"/>
      <c r="I138" s="5"/>
      <c r="J138" s="5"/>
      <c r="K138" s="5"/>
    </row>
    <row r="139" spans="2:11" x14ac:dyDescent="0.25">
      <c r="B139" s="1046"/>
      <c r="C139" s="90"/>
      <c r="D139" s="1027" t="s">
        <v>62</v>
      </c>
      <c r="E139" s="1028"/>
      <c r="F139" s="1029"/>
      <c r="G139" s="5"/>
      <c r="H139" s="5"/>
      <c r="I139" s="5"/>
      <c r="J139" s="5"/>
      <c r="K139" s="5"/>
    </row>
    <row r="140" spans="2:11" x14ac:dyDescent="0.25">
      <c r="B140" s="1046"/>
      <c r="C140" s="90"/>
      <c r="D140" s="1039" t="s">
        <v>63</v>
      </c>
      <c r="E140" s="1040"/>
      <c r="F140" s="1041"/>
      <c r="G140" s="5"/>
      <c r="H140" s="5"/>
      <c r="I140" s="5"/>
      <c r="J140" s="5"/>
      <c r="K140" s="5"/>
    </row>
    <row r="141" spans="2:11" x14ac:dyDescent="0.25">
      <c r="B141" s="1046"/>
      <c r="C141" s="90"/>
      <c r="D141" s="1027" t="s">
        <v>64</v>
      </c>
      <c r="E141" s="1028"/>
      <c r="F141" s="1029"/>
      <c r="G141" s="5"/>
      <c r="H141" s="5"/>
      <c r="I141" s="5"/>
      <c r="J141" s="5"/>
      <c r="K141" s="5"/>
    </row>
    <row r="142" spans="2:11" x14ac:dyDescent="0.25">
      <c r="B142" s="1046"/>
      <c r="C142" s="90"/>
      <c r="D142" s="1027" t="s">
        <v>65</v>
      </c>
      <c r="E142" s="1028"/>
      <c r="F142" s="1029"/>
      <c r="G142" s="5"/>
      <c r="H142" s="5"/>
      <c r="I142" s="5"/>
      <c r="J142" s="5"/>
      <c r="K142" s="5"/>
    </row>
    <row r="143" spans="2:11" x14ac:dyDescent="0.25">
      <c r="B143" s="1046"/>
      <c r="C143" s="90"/>
      <c r="D143" s="1027" t="s">
        <v>66</v>
      </c>
      <c r="E143" s="1028"/>
      <c r="F143" s="1029"/>
      <c r="G143" s="5"/>
      <c r="H143" s="5"/>
      <c r="I143" s="5"/>
      <c r="J143" s="5"/>
      <c r="K143" s="5"/>
    </row>
    <row r="144" spans="2:11" x14ac:dyDescent="0.25">
      <c r="B144" s="1046"/>
      <c r="C144" s="90"/>
      <c r="D144" s="1027" t="s">
        <v>67</v>
      </c>
      <c r="E144" s="1028"/>
      <c r="F144" s="1029"/>
      <c r="G144" s="5"/>
      <c r="H144" s="5"/>
      <c r="I144" s="5"/>
      <c r="J144" s="5"/>
      <c r="K144" s="5"/>
    </row>
    <row r="145" spans="2:11" x14ac:dyDescent="0.25">
      <c r="B145" s="1046"/>
      <c r="C145" s="90"/>
      <c r="D145" s="1039" t="s">
        <v>68</v>
      </c>
      <c r="E145" s="1040"/>
      <c r="F145" s="1041"/>
      <c r="G145" s="5"/>
      <c r="H145" s="5"/>
      <c r="I145" s="5"/>
      <c r="J145" s="5"/>
      <c r="K145" s="5"/>
    </row>
    <row r="146" spans="2:11" x14ac:dyDescent="0.25">
      <c r="B146" s="1046"/>
      <c r="C146" s="90"/>
      <c r="D146" s="1027" t="s">
        <v>69</v>
      </c>
      <c r="E146" s="1028"/>
      <c r="F146" s="1029"/>
      <c r="G146" s="5"/>
      <c r="H146" s="5"/>
      <c r="I146" s="5"/>
      <c r="J146" s="5"/>
      <c r="K146" s="5"/>
    </row>
    <row r="147" spans="2:11" x14ac:dyDescent="0.25">
      <c r="B147" s="1046"/>
      <c r="C147" s="90"/>
      <c r="D147" s="1027" t="s">
        <v>70</v>
      </c>
      <c r="E147" s="1028"/>
      <c r="F147" s="1029"/>
      <c r="G147" s="5"/>
      <c r="H147" s="5"/>
      <c r="I147" s="5"/>
      <c r="J147" s="5"/>
      <c r="K147" s="5"/>
    </row>
    <row r="148" spans="2:11" ht="15.75" thickBot="1" x14ac:dyDescent="0.3">
      <c r="B148" s="1047"/>
      <c r="C148" s="91"/>
      <c r="D148" s="1051" t="s">
        <v>71</v>
      </c>
      <c r="E148" s="1052"/>
      <c r="F148" s="1053"/>
      <c r="G148" s="5"/>
      <c r="H148" s="5"/>
      <c r="I148" s="5"/>
      <c r="J148" s="5"/>
      <c r="K148" s="5"/>
    </row>
    <row r="149" spans="2:11" ht="24.75" thickBot="1" x14ac:dyDescent="0.3">
      <c r="B149" s="46" t="s">
        <v>72</v>
      </c>
      <c r="C149" s="91"/>
      <c r="D149" s="1048"/>
      <c r="E149" s="1049"/>
      <c r="F149" s="1050"/>
      <c r="G149" s="5"/>
      <c r="H149" s="5"/>
      <c r="I149" s="5"/>
      <c r="J149" s="5"/>
      <c r="K149" s="5"/>
    </row>
    <row r="150" spans="2:11" x14ac:dyDescent="0.25">
      <c r="B150" s="1045" t="s">
        <v>73</v>
      </c>
      <c r="C150" s="87"/>
      <c r="D150" s="1036" t="s">
        <v>74</v>
      </c>
      <c r="E150" s="1037"/>
      <c r="F150" s="1038"/>
      <c r="G150" s="5"/>
      <c r="H150" s="5"/>
      <c r="I150" s="5"/>
      <c r="J150" s="5"/>
      <c r="K150" s="5"/>
    </row>
    <row r="151" spans="2:11" x14ac:dyDescent="0.25">
      <c r="B151" s="1046"/>
      <c r="C151" s="90"/>
      <c r="D151" s="1039" t="s">
        <v>75</v>
      </c>
      <c r="E151" s="1040"/>
      <c r="F151" s="1041"/>
      <c r="G151" s="5"/>
      <c r="H151" s="5"/>
      <c r="I151" s="5"/>
      <c r="J151" s="5"/>
      <c r="K151" s="5"/>
    </row>
    <row r="152" spans="2:11" x14ac:dyDescent="0.25">
      <c r="B152" s="1046"/>
      <c r="C152" s="90"/>
      <c r="D152" s="1027" t="s">
        <v>76</v>
      </c>
      <c r="E152" s="1028"/>
      <c r="F152" s="1029"/>
      <c r="G152" s="5"/>
      <c r="H152" s="5"/>
      <c r="I152" s="5"/>
      <c r="J152" s="5"/>
      <c r="K152" s="5"/>
    </row>
    <row r="153" spans="2:11" x14ac:dyDescent="0.25">
      <c r="B153" s="1046"/>
      <c r="C153" s="90"/>
      <c r="D153" s="1027" t="s">
        <v>77</v>
      </c>
      <c r="E153" s="1028"/>
      <c r="F153" s="1029"/>
      <c r="G153" s="5"/>
      <c r="H153" s="5"/>
      <c r="I153" s="5"/>
      <c r="J153" s="5"/>
      <c r="K153" s="5"/>
    </row>
    <row r="154" spans="2:11" x14ac:dyDescent="0.25">
      <c r="B154" s="1046"/>
      <c r="C154" s="90"/>
      <c r="D154" s="1027" t="s">
        <v>78</v>
      </c>
      <c r="E154" s="1028"/>
      <c r="F154" s="1029"/>
      <c r="G154" s="5"/>
      <c r="H154" s="5"/>
      <c r="I154" s="5"/>
      <c r="J154" s="5"/>
      <c r="K154" s="5"/>
    </row>
    <row r="155" spans="2:11" x14ac:dyDescent="0.25">
      <c r="B155" s="1046"/>
      <c r="C155" s="90"/>
      <c r="D155" s="1027" t="s">
        <v>79</v>
      </c>
      <c r="E155" s="1028"/>
      <c r="F155" s="1029"/>
      <c r="G155" s="5"/>
      <c r="H155" s="5"/>
      <c r="I155" s="5"/>
      <c r="J155" s="5"/>
      <c r="K155" s="5"/>
    </row>
    <row r="156" spans="2:11" x14ac:dyDescent="0.25">
      <c r="B156" s="1046"/>
      <c r="C156" s="90"/>
      <c r="D156" s="1027" t="s">
        <v>80</v>
      </c>
      <c r="E156" s="1028"/>
      <c r="F156" s="1029"/>
      <c r="G156" s="5"/>
      <c r="H156" s="5"/>
      <c r="I156" s="5"/>
      <c r="J156" s="5"/>
      <c r="K156" s="5"/>
    </row>
    <row r="157" spans="2:11" x14ac:dyDescent="0.25">
      <c r="B157" s="1046"/>
      <c r="C157" s="90"/>
      <c r="D157" s="1027" t="s">
        <v>81</v>
      </c>
      <c r="E157" s="1028"/>
      <c r="F157" s="1029"/>
      <c r="G157" s="5"/>
      <c r="H157" s="5"/>
      <c r="I157" s="5"/>
      <c r="J157" s="5"/>
      <c r="K157" s="5"/>
    </row>
    <row r="158" spans="2:11" x14ac:dyDescent="0.25">
      <c r="B158" s="1046"/>
      <c r="C158" s="90"/>
      <c r="D158" s="1039" t="s">
        <v>82</v>
      </c>
      <c r="E158" s="1040"/>
      <c r="F158" s="1041"/>
      <c r="G158" s="5"/>
      <c r="H158" s="5"/>
      <c r="I158" s="5"/>
      <c r="J158" s="5"/>
      <c r="K158" s="5"/>
    </row>
    <row r="159" spans="2:11" x14ac:dyDescent="0.25">
      <c r="B159" s="1046"/>
      <c r="C159" s="90"/>
      <c r="D159" s="1027" t="s">
        <v>83</v>
      </c>
      <c r="E159" s="1028"/>
      <c r="F159" s="1029"/>
      <c r="G159" s="5"/>
      <c r="H159" s="5"/>
      <c r="I159" s="5"/>
      <c r="J159" s="5"/>
      <c r="K159" s="5"/>
    </row>
    <row r="160" spans="2:11" x14ac:dyDescent="0.25">
      <c r="B160" s="1046"/>
      <c r="C160" s="90"/>
      <c r="D160" s="1027" t="s">
        <v>84</v>
      </c>
      <c r="E160" s="1028"/>
      <c r="F160" s="1029"/>
      <c r="G160" s="5"/>
      <c r="H160" s="5"/>
      <c r="I160" s="5"/>
      <c r="J160" s="5"/>
      <c r="K160" s="5"/>
    </row>
    <row r="161" spans="2:11" x14ac:dyDescent="0.25">
      <c r="B161" s="1046"/>
      <c r="C161" s="90"/>
      <c r="D161" s="1027" t="s">
        <v>85</v>
      </c>
      <c r="E161" s="1028"/>
      <c r="F161" s="1029"/>
      <c r="G161" s="5"/>
      <c r="H161" s="5"/>
      <c r="I161" s="5"/>
      <c r="J161" s="5"/>
      <c r="K161" s="5"/>
    </row>
    <row r="162" spans="2:11" x14ac:dyDescent="0.25">
      <c r="B162" s="1046"/>
      <c r="C162" s="90"/>
      <c r="D162" s="1027" t="s">
        <v>86</v>
      </c>
      <c r="E162" s="1028"/>
      <c r="F162" s="1029"/>
      <c r="G162" s="5"/>
      <c r="H162" s="5"/>
      <c r="I162" s="5"/>
      <c r="J162" s="5"/>
      <c r="K162" s="5"/>
    </row>
    <row r="163" spans="2:11" x14ac:dyDescent="0.25">
      <c r="B163" s="1046"/>
      <c r="C163" s="90"/>
      <c r="D163" s="1039" t="s">
        <v>87</v>
      </c>
      <c r="E163" s="1040"/>
      <c r="F163" s="1041"/>
      <c r="G163" s="5"/>
      <c r="H163" s="5"/>
      <c r="I163" s="5"/>
      <c r="J163" s="5"/>
      <c r="K163" s="5"/>
    </row>
    <row r="164" spans="2:11" x14ac:dyDescent="0.25">
      <c r="B164" s="1046"/>
      <c r="C164" s="90"/>
      <c r="D164" s="1027" t="s">
        <v>88</v>
      </c>
      <c r="E164" s="1028"/>
      <c r="F164" s="1029"/>
      <c r="G164" s="5"/>
      <c r="H164" s="5"/>
      <c r="I164" s="5"/>
      <c r="J164" s="5"/>
      <c r="K164" s="5"/>
    </row>
    <row r="165" spans="2:11" x14ac:dyDescent="0.25">
      <c r="B165" s="1046"/>
      <c r="C165" s="90"/>
      <c r="D165" s="1027" t="s">
        <v>84</v>
      </c>
      <c r="E165" s="1028"/>
      <c r="F165" s="1029"/>
      <c r="G165" s="5"/>
      <c r="H165" s="5"/>
      <c r="I165" s="5"/>
      <c r="J165" s="5"/>
      <c r="K165" s="5"/>
    </row>
    <row r="166" spans="2:11" x14ac:dyDescent="0.25">
      <c r="B166" s="1046"/>
      <c r="C166" s="90"/>
      <c r="D166" s="1027" t="s">
        <v>85</v>
      </c>
      <c r="E166" s="1028"/>
      <c r="F166" s="1029"/>
      <c r="G166" s="5"/>
      <c r="H166" s="5"/>
      <c r="I166" s="5"/>
      <c r="J166" s="5"/>
      <c r="K166" s="5"/>
    </row>
    <row r="167" spans="2:11" ht="15.75" thickBot="1" x14ac:dyDescent="0.3">
      <c r="B167" s="1047"/>
      <c r="C167" s="91"/>
      <c r="D167" s="1042" t="s">
        <v>89</v>
      </c>
      <c r="E167" s="1043"/>
      <c r="F167" s="1044"/>
      <c r="G167" s="5"/>
      <c r="H167" s="5"/>
      <c r="I167" s="5"/>
      <c r="J167" s="5"/>
      <c r="K167" s="5"/>
    </row>
    <row r="168" spans="2:11" x14ac:dyDescent="0.25">
      <c r="B168" s="1045" t="s">
        <v>90</v>
      </c>
      <c r="C168" s="87"/>
      <c r="D168" s="1036"/>
      <c r="E168" s="1037"/>
      <c r="F168" s="1038"/>
      <c r="G168" s="5"/>
      <c r="H168" s="5"/>
      <c r="I168" s="5"/>
      <c r="J168" s="5"/>
      <c r="K168" s="5"/>
    </row>
    <row r="169" spans="2:11" x14ac:dyDescent="0.25">
      <c r="B169" s="1046"/>
      <c r="C169" s="90"/>
      <c r="D169" s="1024"/>
      <c r="E169" s="1025"/>
      <c r="F169" s="1026"/>
      <c r="G169" s="5"/>
      <c r="H169" s="5"/>
      <c r="I169" s="5"/>
      <c r="J169" s="5"/>
      <c r="K169" s="5"/>
    </row>
    <row r="170" spans="2:11" x14ac:dyDescent="0.25">
      <c r="B170" s="1046"/>
      <c r="C170" s="90"/>
      <c r="D170" s="1027" t="s">
        <v>91</v>
      </c>
      <c r="E170" s="1028"/>
      <c r="F170" s="1029"/>
      <c r="G170" s="5"/>
      <c r="H170" s="5"/>
      <c r="I170" s="5"/>
      <c r="J170" s="5"/>
      <c r="K170" s="5"/>
    </row>
    <row r="171" spans="2:11" x14ac:dyDescent="0.25">
      <c r="B171" s="1046"/>
      <c r="C171" s="90"/>
      <c r="D171" s="1027" t="s">
        <v>92</v>
      </c>
      <c r="E171" s="1028"/>
      <c r="F171" s="1029"/>
      <c r="G171" s="5"/>
      <c r="H171" s="5"/>
      <c r="I171" s="5"/>
      <c r="J171" s="5"/>
      <c r="K171" s="5"/>
    </row>
    <row r="172" spans="2:11" x14ac:dyDescent="0.25">
      <c r="B172" s="1046"/>
      <c r="C172" s="90"/>
      <c r="D172" s="1027" t="s">
        <v>93</v>
      </c>
      <c r="E172" s="1028"/>
      <c r="F172" s="1029"/>
      <c r="G172" s="5"/>
      <c r="H172" s="5"/>
      <c r="I172" s="5"/>
      <c r="J172" s="5"/>
      <c r="K172" s="5"/>
    </row>
    <row r="173" spans="2:11" x14ac:dyDescent="0.25">
      <c r="B173" s="1046"/>
      <c r="C173" s="90"/>
      <c r="D173" s="1027" t="s">
        <v>94</v>
      </c>
      <c r="E173" s="1028"/>
      <c r="F173" s="1029"/>
      <c r="G173" s="5"/>
      <c r="H173" s="5"/>
      <c r="I173" s="5"/>
      <c r="J173" s="5"/>
      <c r="K173" s="5"/>
    </row>
    <row r="174" spans="2:11" x14ac:dyDescent="0.25">
      <c r="B174" s="1046"/>
      <c r="C174" s="90"/>
      <c r="D174" s="1027" t="s">
        <v>95</v>
      </c>
      <c r="E174" s="1028"/>
      <c r="F174" s="1029"/>
      <c r="G174" s="5"/>
      <c r="H174" s="5"/>
      <c r="I174" s="5"/>
      <c r="J174" s="5"/>
      <c r="K174" s="5"/>
    </row>
    <row r="175" spans="2:11" x14ac:dyDescent="0.25">
      <c r="B175" s="1046"/>
      <c r="C175" s="90"/>
      <c r="D175" s="1027" t="s">
        <v>96</v>
      </c>
      <c r="E175" s="1028"/>
      <c r="F175" s="1029"/>
      <c r="G175" s="5"/>
      <c r="H175" s="5"/>
      <c r="I175" s="5"/>
      <c r="J175" s="5"/>
      <c r="K175" s="5"/>
    </row>
    <row r="176" spans="2:11" x14ac:dyDescent="0.25">
      <c r="B176" s="1046"/>
      <c r="C176" s="90"/>
      <c r="D176" s="1027" t="s">
        <v>97</v>
      </c>
      <c r="E176" s="1028"/>
      <c r="F176" s="1029"/>
      <c r="G176" s="5"/>
      <c r="H176" s="5"/>
      <c r="I176" s="5"/>
      <c r="J176" s="5"/>
      <c r="K176" s="5"/>
    </row>
    <row r="177" spans="2:11" x14ac:dyDescent="0.25">
      <c r="B177" s="1046"/>
      <c r="C177" s="90"/>
      <c r="D177" s="1027" t="s">
        <v>98</v>
      </c>
      <c r="E177" s="1028"/>
      <c r="F177" s="1029"/>
      <c r="G177" s="5"/>
      <c r="H177" s="5"/>
      <c r="I177" s="5"/>
      <c r="J177" s="5"/>
      <c r="K177" s="5"/>
    </row>
    <row r="178" spans="2:11" x14ac:dyDescent="0.25">
      <c r="B178" s="1046"/>
      <c r="C178" s="90"/>
      <c r="D178" s="1027" t="s">
        <v>99</v>
      </c>
      <c r="E178" s="1028"/>
      <c r="F178" s="1029"/>
      <c r="G178" s="5"/>
      <c r="H178" s="5"/>
      <c r="I178" s="5"/>
      <c r="J178" s="5"/>
      <c r="K178" s="5"/>
    </row>
    <row r="179" spans="2:11" x14ac:dyDescent="0.25">
      <c r="B179" s="1046"/>
      <c r="C179" s="90"/>
      <c r="D179" s="1027" t="s">
        <v>100</v>
      </c>
      <c r="E179" s="1028"/>
      <c r="F179" s="1029"/>
      <c r="G179" s="5"/>
      <c r="H179" s="5"/>
      <c r="I179" s="5"/>
      <c r="J179" s="5"/>
      <c r="K179" s="5"/>
    </row>
    <row r="180" spans="2:11" x14ac:dyDescent="0.25">
      <c r="B180" s="1046"/>
      <c r="C180" s="90"/>
      <c r="D180" s="1027" t="s">
        <v>101</v>
      </c>
      <c r="E180" s="1028"/>
      <c r="F180" s="1029"/>
      <c r="G180" s="5"/>
      <c r="H180" s="5"/>
      <c r="I180" s="5"/>
      <c r="J180" s="5"/>
      <c r="K180" s="5"/>
    </row>
    <row r="181" spans="2:11" ht="15.75" thickBot="1" x14ac:dyDescent="0.3">
      <c r="B181" s="1046"/>
      <c r="C181" s="90"/>
      <c r="D181" s="1030" t="s">
        <v>102</v>
      </c>
      <c r="E181" s="1031"/>
      <c r="F181" s="1032"/>
      <c r="G181" s="5"/>
      <c r="H181" s="5"/>
      <c r="I181" s="5"/>
      <c r="J181" s="5"/>
      <c r="K181" s="5"/>
    </row>
    <row r="182" spans="2:11" ht="24.75" thickBot="1" x14ac:dyDescent="0.3">
      <c r="B182" s="1046"/>
      <c r="C182" s="92"/>
      <c r="D182" s="42" t="s">
        <v>103</v>
      </c>
      <c r="E182" s="42" t="s">
        <v>104</v>
      </c>
      <c r="F182" s="42" t="s">
        <v>105</v>
      </c>
      <c r="G182" s="5"/>
      <c r="H182" s="5"/>
      <c r="I182" s="5"/>
      <c r="J182" s="5"/>
      <c r="K182" s="5"/>
    </row>
    <row r="183" spans="2:11" ht="15.75" thickBot="1" x14ac:dyDescent="0.3">
      <c r="B183" s="1046"/>
      <c r="C183" s="92"/>
      <c r="D183" s="40" t="s">
        <v>106</v>
      </c>
      <c r="E183" s="267">
        <v>0.15</v>
      </c>
      <c r="F183" s="267">
        <v>0.15</v>
      </c>
      <c r="G183" s="5"/>
      <c r="H183" s="5"/>
      <c r="I183" s="5"/>
      <c r="J183" s="5"/>
      <c r="K183" s="5"/>
    </row>
    <row r="184" spans="2:11" ht="15.75" thickBot="1" x14ac:dyDescent="0.3">
      <c r="B184" s="1046"/>
      <c r="C184" s="92"/>
      <c r="D184" s="40" t="s">
        <v>107</v>
      </c>
      <c r="E184" s="267">
        <v>0.18</v>
      </c>
      <c r="F184" s="267">
        <v>0.33</v>
      </c>
      <c r="G184" s="5"/>
      <c r="H184" s="268"/>
      <c r="I184" s="5"/>
      <c r="J184" s="5"/>
      <c r="K184" s="5"/>
    </row>
    <row r="185" spans="2:11" ht="15.75" thickBot="1" x14ac:dyDescent="0.3">
      <c r="B185" s="1046"/>
      <c r="C185" s="92"/>
      <c r="D185" s="40" t="s">
        <v>108</v>
      </c>
      <c r="E185" s="267">
        <v>0.33</v>
      </c>
      <c r="F185" s="267">
        <v>0.66</v>
      </c>
      <c r="G185" s="5"/>
      <c r="H185" s="268"/>
      <c r="I185" s="5"/>
      <c r="J185" s="5"/>
      <c r="K185" s="5"/>
    </row>
    <row r="186" spans="2:11" ht="24.75" thickBot="1" x14ac:dyDescent="0.3">
      <c r="B186" s="1046"/>
      <c r="C186" s="92"/>
      <c r="D186" s="40" t="s">
        <v>109</v>
      </c>
      <c r="E186" s="267">
        <v>0.16</v>
      </c>
      <c r="F186" s="267">
        <v>0.82</v>
      </c>
      <c r="G186" s="5"/>
      <c r="H186" s="268"/>
      <c r="I186" s="5"/>
      <c r="J186" s="5"/>
      <c r="K186" s="5"/>
    </row>
    <row r="187" spans="2:11" ht="15.75" thickBot="1" x14ac:dyDescent="0.3">
      <c r="B187" s="1046"/>
      <c r="C187" s="92"/>
      <c r="D187" s="40" t="s">
        <v>110</v>
      </c>
      <c r="E187" s="267">
        <v>0.18</v>
      </c>
      <c r="F187" s="267">
        <v>1</v>
      </c>
      <c r="G187" s="5"/>
      <c r="H187" s="268"/>
      <c r="I187" s="5"/>
      <c r="J187" s="5"/>
      <c r="K187" s="5"/>
    </row>
    <row r="188" spans="2:11" x14ac:dyDescent="0.25">
      <c r="B188" s="1046"/>
      <c r="C188" s="90"/>
      <c r="D188" s="1033"/>
      <c r="E188" s="1034"/>
      <c r="F188" s="1035"/>
      <c r="G188" s="5"/>
      <c r="H188" s="5"/>
      <c r="I188" s="5"/>
      <c r="J188" s="5"/>
      <c r="K188" s="5"/>
    </row>
    <row r="189" spans="2:11" ht="15.75" thickBot="1" x14ac:dyDescent="0.3">
      <c r="B189" s="1046"/>
      <c r="C189" s="90"/>
      <c r="D189" s="1030" t="s">
        <v>82</v>
      </c>
      <c r="E189" s="1031"/>
      <c r="F189" s="1032"/>
      <c r="G189" s="5"/>
      <c r="H189" s="5"/>
      <c r="I189" s="5"/>
      <c r="J189" s="5"/>
      <c r="K189" s="5"/>
    </row>
    <row r="190" spans="2:11" ht="24.75" thickBot="1" x14ac:dyDescent="0.3">
      <c r="B190" s="1046"/>
      <c r="C190" s="92"/>
      <c r="D190" s="42" t="s">
        <v>103</v>
      </c>
      <c r="E190" s="42" t="s">
        <v>104</v>
      </c>
      <c r="F190" s="42" t="s">
        <v>105</v>
      </c>
      <c r="G190" s="5"/>
      <c r="H190" s="5"/>
      <c r="I190" s="5"/>
      <c r="J190" s="5"/>
      <c r="K190" s="5"/>
    </row>
    <row r="191" spans="2:11" ht="15.75" thickBot="1" x14ac:dyDescent="0.3">
      <c r="B191" s="1046"/>
      <c r="C191" s="92"/>
      <c r="D191" s="40" t="s">
        <v>111</v>
      </c>
      <c r="E191" s="267">
        <v>0.2</v>
      </c>
      <c r="F191" s="267">
        <v>0.2</v>
      </c>
      <c r="G191" s="5"/>
      <c r="H191" s="5"/>
      <c r="I191" s="5"/>
      <c r="J191" s="5"/>
      <c r="K191" s="5"/>
    </row>
    <row r="192" spans="2:11" ht="15.75" thickBot="1" x14ac:dyDescent="0.3">
      <c r="B192" s="1046"/>
      <c r="C192" s="92"/>
      <c r="D192" s="40" t="s">
        <v>112</v>
      </c>
      <c r="E192" s="267">
        <v>0.5</v>
      </c>
      <c r="F192" s="267">
        <v>0.7</v>
      </c>
      <c r="G192" s="5"/>
      <c r="H192" s="268"/>
      <c r="I192" s="5"/>
      <c r="J192" s="5"/>
      <c r="K192" s="5"/>
    </row>
    <row r="193" spans="2:11" ht="15.75" thickBot="1" x14ac:dyDescent="0.3">
      <c r="B193" s="1046"/>
      <c r="C193" s="92"/>
      <c r="D193" s="40" t="s">
        <v>113</v>
      </c>
      <c r="E193" s="267">
        <v>0.3</v>
      </c>
      <c r="F193" s="267">
        <v>1</v>
      </c>
      <c r="G193" s="5"/>
      <c r="H193" s="268"/>
      <c r="I193" s="5"/>
      <c r="J193" s="5"/>
      <c r="K193" s="5"/>
    </row>
    <row r="194" spans="2:11" x14ac:dyDescent="0.25">
      <c r="B194" s="1046"/>
      <c r="C194" s="90"/>
      <c r="D194" s="1036"/>
      <c r="E194" s="1037"/>
      <c r="F194" s="1038"/>
      <c r="G194" s="5"/>
      <c r="H194" s="268"/>
      <c r="I194" s="5"/>
      <c r="J194" s="5"/>
      <c r="K194" s="5"/>
    </row>
    <row r="195" spans="2:11" ht="15.75" thickBot="1" x14ac:dyDescent="0.3">
      <c r="B195" s="1046"/>
      <c r="C195" s="90"/>
      <c r="D195" s="1030" t="s">
        <v>114</v>
      </c>
      <c r="E195" s="1031"/>
      <c r="F195" s="1032"/>
      <c r="G195" s="5"/>
      <c r="H195" s="268"/>
      <c r="I195" s="5"/>
      <c r="J195" s="5"/>
      <c r="K195" s="5"/>
    </row>
    <row r="196" spans="2:11" ht="24.75" thickBot="1" x14ac:dyDescent="0.3">
      <c r="B196" s="1046"/>
      <c r="C196" s="92"/>
      <c r="D196" s="42" t="s">
        <v>103</v>
      </c>
      <c r="E196" s="42" t="s">
        <v>104</v>
      </c>
      <c r="F196" s="42" t="s">
        <v>105</v>
      </c>
      <c r="G196" s="5"/>
      <c r="H196" s="5"/>
      <c r="I196" s="5"/>
      <c r="J196" s="5"/>
      <c r="K196" s="5"/>
    </row>
    <row r="197" spans="2:11" ht="15.75" thickBot="1" x14ac:dyDescent="0.3">
      <c r="B197" s="1046"/>
      <c r="C197" s="92"/>
      <c r="D197" s="40" t="s">
        <v>115</v>
      </c>
      <c r="E197" s="267">
        <v>0.2</v>
      </c>
      <c r="F197" s="267">
        <v>0.2</v>
      </c>
      <c r="G197" s="5"/>
      <c r="H197" s="268"/>
      <c r="I197" s="5"/>
      <c r="J197" s="5"/>
      <c r="K197" s="5"/>
    </row>
    <row r="198" spans="2:11" ht="15.75" thickBot="1" x14ac:dyDescent="0.3">
      <c r="B198" s="1046"/>
      <c r="C198" s="92"/>
      <c r="D198" s="40" t="s">
        <v>112</v>
      </c>
      <c r="E198" s="267">
        <v>0.5</v>
      </c>
      <c r="F198" s="267">
        <v>0.7</v>
      </c>
      <c r="G198" s="5"/>
      <c r="H198" s="268"/>
      <c r="I198" s="5"/>
      <c r="J198" s="5"/>
      <c r="K198" s="5"/>
    </row>
    <row r="199" spans="2:11" ht="15.75" thickBot="1" x14ac:dyDescent="0.3">
      <c r="B199" s="1046"/>
      <c r="C199" s="92"/>
      <c r="D199" s="40" t="s">
        <v>113</v>
      </c>
      <c r="E199" s="267">
        <v>0.3</v>
      </c>
      <c r="F199" s="267">
        <v>1</v>
      </c>
      <c r="G199" s="5"/>
      <c r="H199" s="268"/>
      <c r="I199" s="5"/>
      <c r="J199" s="5"/>
      <c r="K199" s="5"/>
    </row>
    <row r="200" spans="2:11" x14ac:dyDescent="0.25">
      <c r="B200" s="1046"/>
      <c r="C200" s="90"/>
      <c r="D200" s="1036"/>
      <c r="E200" s="1037"/>
      <c r="F200" s="1038"/>
      <c r="G200" s="5"/>
      <c r="H200" s="5"/>
      <c r="I200" s="5"/>
      <c r="J200" s="5"/>
      <c r="K200" s="5"/>
    </row>
    <row r="201" spans="2:11" x14ac:dyDescent="0.25">
      <c r="B201" s="1046"/>
      <c r="C201" s="90"/>
      <c r="D201" s="1039" t="s">
        <v>116</v>
      </c>
      <c r="E201" s="1040"/>
      <c r="F201" s="1041"/>
      <c r="G201" s="5"/>
      <c r="H201" s="5"/>
      <c r="I201" s="5"/>
      <c r="J201" s="5"/>
      <c r="K201" s="5"/>
    </row>
    <row r="202" spans="2:11" x14ac:dyDescent="0.25">
      <c r="B202" s="1046"/>
      <c r="C202" s="90"/>
      <c r="D202" s="1027" t="s">
        <v>117</v>
      </c>
      <c r="E202" s="1028"/>
      <c r="F202" s="1029"/>
      <c r="G202" s="5"/>
      <c r="H202" s="5"/>
      <c r="I202" s="5"/>
      <c r="J202" s="5"/>
      <c r="K202" s="5"/>
    </row>
    <row r="203" spans="2:11" x14ac:dyDescent="0.25">
      <c r="B203" s="1046"/>
      <c r="C203" s="90"/>
      <c r="D203" s="232"/>
      <c r="E203" s="128"/>
      <c r="F203" s="45"/>
      <c r="G203" s="5"/>
      <c r="H203" s="5"/>
      <c r="I203" s="5"/>
      <c r="J203" s="5"/>
      <c r="K203" s="5"/>
    </row>
    <row r="204" spans="2:11" x14ac:dyDescent="0.25">
      <c r="B204" s="1046"/>
      <c r="C204" s="90"/>
      <c r="D204" s="1027" t="s">
        <v>118</v>
      </c>
      <c r="E204" s="1028"/>
      <c r="F204" s="1029"/>
      <c r="G204" s="5"/>
      <c r="H204" s="5"/>
      <c r="I204" s="5"/>
      <c r="J204" s="5"/>
      <c r="K204" s="5"/>
    </row>
    <row r="205" spans="2:11" x14ac:dyDescent="0.25">
      <c r="B205" s="1046"/>
      <c r="C205" s="90"/>
      <c r="D205" s="1027" t="s">
        <v>119</v>
      </c>
      <c r="E205" s="1028"/>
      <c r="F205" s="1029"/>
      <c r="G205" s="5"/>
      <c r="H205" s="5"/>
      <c r="I205" s="5"/>
      <c r="J205" s="5"/>
      <c r="K205" s="5"/>
    </row>
    <row r="206" spans="2:11" x14ac:dyDescent="0.25">
      <c r="B206" s="1046"/>
      <c r="C206" s="90"/>
      <c r="D206" s="1027" t="s">
        <v>120</v>
      </c>
      <c r="E206" s="1028"/>
      <c r="F206" s="1029"/>
      <c r="G206" s="5"/>
      <c r="H206" s="5"/>
      <c r="I206" s="5"/>
      <c r="J206" s="5"/>
      <c r="K206" s="5"/>
    </row>
    <row r="207" spans="2:11" x14ac:dyDescent="0.25">
      <c r="B207" s="1046"/>
      <c r="C207" s="90"/>
      <c r="D207" s="1027" t="s">
        <v>121</v>
      </c>
      <c r="E207" s="1028"/>
      <c r="F207" s="1029"/>
      <c r="G207" s="5"/>
      <c r="H207" s="5"/>
      <c r="I207" s="5"/>
      <c r="J207" s="5"/>
      <c r="K207" s="5"/>
    </row>
    <row r="208" spans="2:11" x14ac:dyDescent="0.25">
      <c r="B208" s="1046"/>
      <c r="C208" s="90"/>
      <c r="D208" s="232"/>
      <c r="E208" s="128"/>
      <c r="F208" s="45"/>
      <c r="G208" s="5"/>
      <c r="H208" s="5"/>
      <c r="I208" s="5"/>
      <c r="J208" s="5"/>
      <c r="K208" s="5"/>
    </row>
    <row r="209" spans="2:11" x14ac:dyDescent="0.25">
      <c r="B209" s="1046"/>
      <c r="C209" s="90"/>
      <c r="D209" s="1039" t="s">
        <v>122</v>
      </c>
      <c r="E209" s="1040"/>
      <c r="F209" s="1041"/>
      <c r="G209" s="5"/>
      <c r="H209" s="5"/>
      <c r="I209" s="5"/>
      <c r="J209" s="5"/>
      <c r="K209" s="5"/>
    </row>
    <row r="210" spans="2:11" x14ac:dyDescent="0.25">
      <c r="B210" s="1046"/>
      <c r="C210" s="90"/>
      <c r="D210" s="1027" t="s">
        <v>123</v>
      </c>
      <c r="E210" s="1028"/>
      <c r="F210" s="1029"/>
      <c r="G210" s="5"/>
      <c r="H210" s="5"/>
      <c r="I210" s="5"/>
      <c r="J210" s="5"/>
      <c r="K210" s="5"/>
    </row>
    <row r="211" spans="2:11" ht="32.1" customHeight="1" x14ac:dyDescent="0.25">
      <c r="B211" s="1046"/>
      <c r="C211" s="90"/>
      <c r="D211" s="1024"/>
      <c r="E211" s="1025"/>
      <c r="F211" s="1026"/>
      <c r="G211" s="5"/>
      <c r="H211" s="5"/>
      <c r="I211" s="5"/>
      <c r="J211" s="5"/>
      <c r="K211" s="5"/>
    </row>
    <row r="212" spans="2:11" x14ac:dyDescent="0.25">
      <c r="B212" s="1046"/>
      <c r="C212" s="90"/>
      <c r="D212" s="1027" t="s">
        <v>124</v>
      </c>
      <c r="E212" s="1028"/>
      <c r="F212" s="1029"/>
      <c r="G212" s="5"/>
      <c r="H212" s="5"/>
      <c r="I212" s="5"/>
      <c r="J212" s="5"/>
      <c r="K212" s="5"/>
    </row>
    <row r="213" spans="2:11" x14ac:dyDescent="0.25">
      <c r="B213" s="1046"/>
      <c r="C213" s="90"/>
      <c r="D213" s="1027" t="s">
        <v>125</v>
      </c>
      <c r="E213" s="1028"/>
      <c r="F213" s="1029"/>
      <c r="G213" s="5"/>
      <c r="H213" s="5"/>
      <c r="I213" s="5"/>
      <c r="J213" s="5"/>
      <c r="K213" s="5"/>
    </row>
    <row r="214" spans="2:11" x14ac:dyDescent="0.25">
      <c r="B214" s="1046"/>
      <c r="C214" s="90"/>
      <c r="D214" s="1027" t="s">
        <v>126</v>
      </c>
      <c r="E214" s="1028"/>
      <c r="F214" s="1029"/>
      <c r="G214" s="5"/>
      <c r="H214" s="5"/>
      <c r="I214" s="5"/>
      <c r="J214" s="5"/>
      <c r="K214" s="5"/>
    </row>
    <row r="215" spans="2:11" ht="15.75" thickBot="1" x14ac:dyDescent="0.3">
      <c r="B215" s="1047"/>
      <c r="C215" s="91"/>
      <c r="D215" s="1042" t="s">
        <v>127</v>
      </c>
      <c r="E215" s="1043"/>
      <c r="F215" s="1044"/>
      <c r="G215" s="5"/>
      <c r="H215" s="5"/>
      <c r="I215" s="5"/>
      <c r="J215" s="5"/>
      <c r="K215" s="5"/>
    </row>
  </sheetData>
  <sheetProtection insertRows="0"/>
  <mergeCells count="103">
    <mergeCell ref="B15:B21"/>
    <mergeCell ref="D95:K95"/>
    <mergeCell ref="D15:K15"/>
    <mergeCell ref="D22:K22"/>
    <mergeCell ref="D23:K23"/>
    <mergeCell ref="D39:K39"/>
    <mergeCell ref="D40:K40"/>
    <mergeCell ref="D41:K41"/>
    <mergeCell ref="D42:K42"/>
    <mergeCell ref="D43:K43"/>
    <mergeCell ref="D59:K59"/>
    <mergeCell ref="D60:K60"/>
    <mergeCell ref="D76:K76"/>
    <mergeCell ref="D77:K77"/>
    <mergeCell ref="D78:K78"/>
    <mergeCell ref="D94:K94"/>
    <mergeCell ref="B107:E107"/>
    <mergeCell ref="B108:B114"/>
    <mergeCell ref="B116:E116"/>
    <mergeCell ref="B117:B123"/>
    <mergeCell ref="B130:F131"/>
    <mergeCell ref="D100:E100"/>
    <mergeCell ref="D101:K101"/>
    <mergeCell ref="D102:K102"/>
    <mergeCell ref="D104:K104"/>
    <mergeCell ref="D105:K105"/>
    <mergeCell ref="D136:F136"/>
    <mergeCell ref="B137:B148"/>
    <mergeCell ref="D137:F137"/>
    <mergeCell ref="D138:F138"/>
    <mergeCell ref="D139:F139"/>
    <mergeCell ref="D140:F140"/>
    <mergeCell ref="D141:F141"/>
    <mergeCell ref="D142:F142"/>
    <mergeCell ref="D143:F143"/>
    <mergeCell ref="D144:F144"/>
    <mergeCell ref="D145:F145"/>
    <mergeCell ref="D146:F146"/>
    <mergeCell ref="D147:F147"/>
    <mergeCell ref="D148:F148"/>
    <mergeCell ref="D149:F149"/>
    <mergeCell ref="D165:F165"/>
    <mergeCell ref="D154:F154"/>
    <mergeCell ref="D155:F155"/>
    <mergeCell ref="D156:F156"/>
    <mergeCell ref="D157:F157"/>
    <mergeCell ref="D158:F158"/>
    <mergeCell ref="D159:F159"/>
    <mergeCell ref="D160:F160"/>
    <mergeCell ref="D161:F161"/>
    <mergeCell ref="D162:F162"/>
    <mergeCell ref="D163:F163"/>
    <mergeCell ref="D164:F164"/>
    <mergeCell ref="D175:F175"/>
    <mergeCell ref="D176:F176"/>
    <mergeCell ref="D177:F177"/>
    <mergeCell ref="D178:F178"/>
    <mergeCell ref="D179:F179"/>
    <mergeCell ref="D180:F180"/>
    <mergeCell ref="D166:F166"/>
    <mergeCell ref="D167:F167"/>
    <mergeCell ref="B168:B215"/>
    <mergeCell ref="D168:F168"/>
    <mergeCell ref="D169:F169"/>
    <mergeCell ref="D170:F170"/>
    <mergeCell ref="D171:F171"/>
    <mergeCell ref="D172:F172"/>
    <mergeCell ref="D173:F173"/>
    <mergeCell ref="D174:F174"/>
    <mergeCell ref="B150:B167"/>
    <mergeCell ref="D150:F150"/>
    <mergeCell ref="D151:F151"/>
    <mergeCell ref="D152:F152"/>
    <mergeCell ref="D153:F153"/>
    <mergeCell ref="D215:F215"/>
    <mergeCell ref="D209:F209"/>
    <mergeCell ref="D210:F210"/>
    <mergeCell ref="D211:F211"/>
    <mergeCell ref="D212:F212"/>
    <mergeCell ref="D213:F213"/>
    <mergeCell ref="D214:F214"/>
    <mergeCell ref="D207:F207"/>
    <mergeCell ref="D181:F181"/>
    <mergeCell ref="D188:F188"/>
    <mergeCell ref="D189:F189"/>
    <mergeCell ref="D194:F194"/>
    <mergeCell ref="D195:F195"/>
    <mergeCell ref="D200:F200"/>
    <mergeCell ref="D201:F201"/>
    <mergeCell ref="D202:F202"/>
    <mergeCell ref="D204:F204"/>
    <mergeCell ref="D205:F205"/>
    <mergeCell ref="D206:F206"/>
    <mergeCell ref="A5:P5"/>
    <mergeCell ref="A1:P1"/>
    <mergeCell ref="A2:P2"/>
    <mergeCell ref="A3:P3"/>
    <mergeCell ref="A4:D4"/>
    <mergeCell ref="B10:D10"/>
    <mergeCell ref="F11:S11"/>
    <mergeCell ref="E12:R12"/>
    <mergeCell ref="E13:R13"/>
    <mergeCell ref="F10:S10"/>
  </mergeCells>
  <conditionalFormatting sqref="D100">
    <cfRule type="containsText" dxfId="129" priority="9" operator="containsText" text="ERROR">
      <formula>NOT(ISERROR(SEARCH("ERROR",D100)))</formula>
    </cfRule>
  </conditionalFormatting>
  <conditionalFormatting sqref="F10">
    <cfRule type="notContainsBlanks" dxfId="128" priority="8">
      <formula>LEN(TRIM(F10))&gt;0</formula>
    </cfRule>
  </conditionalFormatting>
  <conditionalFormatting sqref="F11:S11">
    <cfRule type="expression" dxfId="127" priority="5">
      <formula>E11="NO SE REPORTA"</formula>
    </cfRule>
    <cfRule type="expression" dxfId="126" priority="6">
      <formula>E10="NO APLICA"</formula>
    </cfRule>
  </conditionalFormatting>
  <conditionalFormatting sqref="E12:R12">
    <cfRule type="expression" dxfId="125" priority="2">
      <formula>E11="SI SE REPORTA"</formula>
    </cfRule>
  </conditionalFormatting>
  <dataValidations xWindow="942" yWindow="318" count="7">
    <dataValidation type="decimal" allowBlank="1" showInputMessage="1" showErrorMessage="1" errorTitle="ERROR" error="Escriba un valor entre 0% y 100%" sqref="E97:F99 G62:J75 G45:J58">
      <formula1>0</formula1>
      <formula2>1</formula2>
    </dataValidation>
    <dataValidation type="whole" operator="greaterThanOrEqual" allowBlank="1" showErrorMessage="1" errorTitle="ERROR" error="Escriba un número igual o mayor que 0" promptTitle="ERROR" prompt="Escriba un número igual o mayor que 0" sqref="E16:E21">
      <formula1>0</formula1>
    </dataValidation>
    <dataValidation type="textLength" allowBlank="1" showInputMessage="1" showErrorMessage="1" errorTitle="ERROR" error="Escriba POMCA, PMM o PMA" promptTitle="ESCRIBA" prompt="POMCA, PMA o PMM" sqref="D45:D58 D25:D38">
      <formula1>1</formula1>
      <formula2>5</formula2>
    </dataValidation>
    <dataValidation type="whole" operator="greaterThanOrEqual" allowBlank="1" showInputMessage="1" showErrorMessage="1" errorTitle="ERROR" error="Valor en HECTAREAS (sin decimales)_x000a_" sqref="G25:G38">
      <formula1>0</formula1>
    </dataValidation>
    <dataValidation allowBlank="1" showInputMessage="1" showErrorMessage="1" promptTitle="ESTADO" prompt="Procesos formales previos_x000a_Aprestamiento_x000a_Diagnóstico_x000a_Prospectiva y Zonificación Ambiental_x000a_Formulación_x000a_Aprobado" sqref="H25:H38"/>
    <dataValidation type="list" allowBlank="1" showInputMessage="1" showErrorMessage="1" sqref="E10">
      <formula1>SI</formula1>
    </dataValidation>
    <dataValidation type="list" allowBlank="1" showInputMessage="1" showErrorMessage="1" sqref="E11">
      <formula1>REPORTE</formula1>
    </dataValidation>
  </dataValidations>
  <hyperlinks>
    <hyperlink ref="B9" location="'ANEXO 3'!A1" display="VOLVER AL INDICE"/>
    <hyperlink ref="E112" r:id="rId1"/>
  </hyperlinks>
  <pageMargins left="0.25" right="0.25" top="0.75" bottom="0.75" header="0.3" footer="0.3"/>
  <pageSetup paperSize="178" orientation="landscape" horizontalDpi="1200" verticalDpi="12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8</vt:i4>
      </vt:variant>
    </vt:vector>
  </HeadingPairs>
  <TitlesOfParts>
    <vt:vector size="45" baseType="lpstr">
      <vt:lpstr>Datos Generales</vt:lpstr>
      <vt:lpstr>Anexo 1 Matriz Inf Gestión CARd</vt:lpstr>
      <vt:lpstr>Anexo 2 Protocolo Inf Gestión</vt:lpstr>
      <vt:lpstr>Anexo 5.1 INGRESOS</vt:lpstr>
      <vt:lpstr>Anexo 5.2. informe Gastos</vt:lpstr>
      <vt:lpstr>Anexo 5.2A_REV</vt:lpstr>
      <vt:lpstr>Hoja1</vt:lpstr>
      <vt:lpstr>Anexo 3 Matriz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'9RUNAP'!_Toc467769476</vt:lpstr>
      <vt:lpstr>'Anexo 1 Matriz Inf Gestión CARd'!Área_de_impresión</vt:lpstr>
      <vt:lpstr>'Anexo 3 Matriz IMG'!Área_de_impresión</vt:lpstr>
      <vt:lpstr>Lista_CAR</vt:lpstr>
      <vt:lpstr>REPORTE</vt:lpstr>
      <vt:lpstr>SI</vt:lpstr>
      <vt:lpstr>'Anexo 1 Matriz Inf Gestión CARd'!Títulos_a_imprimir</vt:lpstr>
      <vt:lpstr>Vigencias</vt:lpstr>
    </vt:vector>
  </TitlesOfParts>
  <Manager>nortiz@claro.net.co</Manager>
  <Company>Derechos protegidos de autor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creator>Edwin Giovanny Ortiz R.</dc:creator>
  <cp:keywords>Documento No Oficial</cp:keywords>
  <dc:description>Matriz elaborada por Néstor Ortiz Pérez, Consultor GIZ-MADS en el marco de PROMAC</dc:description>
  <cp:lastModifiedBy>Carlos Augusto Santodomingo Vega</cp:lastModifiedBy>
  <cp:lastPrinted>2021-02-23T22:58:56Z</cp:lastPrinted>
  <dcterms:created xsi:type="dcterms:W3CDTF">2016-11-26T19:57:08Z</dcterms:created>
  <dcterms:modified xsi:type="dcterms:W3CDTF">2023-02-28T00:24:26Z</dcterms:modified>
  <cp:category>Capacitación</cp:category>
  <cp:contentStatus>Preliminar</cp:contentStatus>
</cp:coreProperties>
</file>